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95" windowWidth="15480" windowHeight="5940" tabRatio="491" activeTab="0"/>
  </bookViews>
  <sheets>
    <sheet name="SUMMARY" sheetId="1" r:id="rId1"/>
    <sheet name="Old Dorm SUMMARY" sheetId="2" r:id="rId2"/>
    <sheet name="SA Only SUMMARY" sheetId="3" r:id="rId3"/>
    <sheet name="Usage and Cost" sheetId="4" r:id="rId4"/>
    <sheet name="Rates" sheetId="5" r:id="rId5"/>
  </sheets>
  <definedNames>
    <definedName name="_xlnm.Print_Area" localSheetId="1">'Old Dorm SUMMARY'!$B$65:$H$100</definedName>
    <definedName name="_xlnm.Print_Area" localSheetId="4">'Rates'!$B$1:$H$44</definedName>
    <definedName name="_xlnm.Print_Area" localSheetId="2">'SA Only SUMMARY'!$B$65:$H$100</definedName>
    <definedName name="_xlnm.Print_Area" localSheetId="0">'SUMMARY'!$B$65:$H$100</definedName>
    <definedName name="_xlnm.Print_Area" localSheetId="3">'Usage and Cost'!$A$1:$AF$444</definedName>
    <definedName name="_xlnm.Print_Titles" localSheetId="1">'Old Dorm SUMMARY'!$1:$4</definedName>
    <definedName name="_xlnm.Print_Titles" localSheetId="2">'SA Only SUMMARY'!$1:$4</definedName>
    <definedName name="_xlnm.Print_Titles" localSheetId="0">'SUMMARY'!$1:$4</definedName>
  </definedNames>
  <calcPr fullCalcOnLoad="1"/>
</workbook>
</file>

<file path=xl/sharedStrings.xml><?xml version="1.0" encoding="utf-8"?>
<sst xmlns="http://schemas.openxmlformats.org/spreadsheetml/2006/main" count="659" uniqueCount="144">
  <si>
    <t>Electricity</t>
  </si>
  <si>
    <t>Natural Gas</t>
  </si>
  <si>
    <t>Monthly Totals</t>
  </si>
  <si>
    <t>Water/Sewer</t>
  </si>
  <si>
    <t>Monthly Utility Cost Summary</t>
  </si>
  <si>
    <t>Quarter Totals</t>
  </si>
  <si>
    <t>(Values in Red are Estimates)</t>
  </si>
  <si>
    <t>Transportation cost to OU</t>
  </si>
  <si>
    <t>per MMBtu</t>
  </si>
  <si>
    <t>Conversion to MCF</t>
  </si>
  <si>
    <t>per MCF</t>
  </si>
  <si>
    <t>TOTALS</t>
  </si>
  <si>
    <t>per cubic feet</t>
  </si>
  <si>
    <t xml:space="preserve">Auburn Hills Water Cost </t>
  </si>
  <si>
    <t>Auburn Hills Sewer Cost</t>
  </si>
  <si>
    <t>Electricity Average Cost</t>
  </si>
  <si>
    <t>per kW-hour</t>
  </si>
  <si>
    <t>For Reference:  Detroit Edison - General Service Rate D3 = $0.0995 per kW-hour</t>
  </si>
  <si>
    <t>TOTAL RATE</t>
  </si>
  <si>
    <t xml:space="preserve">Averaged Annual Gas Cost </t>
  </si>
  <si>
    <t>Read</t>
  </si>
  <si>
    <t>kWhr</t>
  </si>
  <si>
    <t>Domestic Water</t>
  </si>
  <si>
    <t>Date</t>
  </si>
  <si>
    <t>Rate</t>
  </si>
  <si>
    <t>$/kWhr</t>
  </si>
  <si>
    <t>Monthly Total</t>
  </si>
  <si>
    <t>OU Auxiliary Utility Rates</t>
  </si>
  <si>
    <t>Electric Rate</t>
  </si>
  <si>
    <t>Natural Gas Rate</t>
  </si>
  <si>
    <t>Water &amp; Sewer Rate</t>
  </si>
  <si>
    <t>Monthly Cost</t>
  </si>
  <si>
    <t>$</t>
  </si>
  <si>
    <t>Quarter Total</t>
  </si>
  <si>
    <t>FY TOTAL</t>
  </si>
  <si>
    <t>CCF</t>
  </si>
  <si>
    <t>$/CCF</t>
  </si>
  <si>
    <t>per CCF</t>
  </si>
  <si>
    <t>Consumers Energy bill in CCF, so this unit is used for the SA for comparison to the Consumers billings</t>
  </si>
  <si>
    <t>prepared by Jim Leidel - Energy Manager ext. 4990</t>
  </si>
  <si>
    <t>HIL / VWH</t>
  </si>
  <si>
    <t>HAM</t>
  </si>
  <si>
    <t>HAM A</t>
  </si>
  <si>
    <t>HAM B</t>
  </si>
  <si>
    <t>Heating Hot Water</t>
  </si>
  <si>
    <t>MMBTU</t>
  </si>
  <si>
    <t>$/MMBTU</t>
  </si>
  <si>
    <t>Item</t>
  </si>
  <si>
    <t>ADD</t>
  </si>
  <si>
    <t>Cost per MMBTU</t>
  </si>
  <si>
    <t>Notes</t>
  </si>
  <si>
    <t>Natural Gas Cost</t>
  </si>
  <si>
    <t>Raw fuel input to boilers = avg annual gas cost + transp to OU</t>
  </si>
  <si>
    <t>Boiler Efficiency</t>
  </si>
  <si>
    <t>Add cost to convert natural gas to hot water, boiler losses</t>
  </si>
  <si>
    <t>Central Plant O&amp;M</t>
  </si>
  <si>
    <t>Add cost to run power house: pumping power, labor, and maint.</t>
  </si>
  <si>
    <t>Distribution System Eff.</t>
  </si>
  <si>
    <t>Add cost for distribution system losses</t>
  </si>
  <si>
    <t>Add cost for metering, data collection, analysis, &amp; billing</t>
  </si>
  <si>
    <t>TOTAL Cost</t>
  </si>
  <si>
    <t>= VBH Percentage Occupied by Housing</t>
  </si>
  <si>
    <t>Heating Water</t>
  </si>
  <si>
    <t>kgal</t>
  </si>
  <si>
    <t>(Reset?)</t>
  </si>
  <si>
    <t>VBH</t>
  </si>
  <si>
    <t>$/ cu ft</t>
  </si>
  <si>
    <t>cubic feet</t>
  </si>
  <si>
    <t>none</t>
  </si>
  <si>
    <t>Notes:</t>
  </si>
  <si>
    <t>2.  ANI-FTZ-PRY are not served by HTHW.  All heating is accomplished by natural gas fired furnaces.</t>
  </si>
  <si>
    <t>2.  ANI-FTZ-PRY are not metered for gas or water.  Estimates are used by correlating with other dorm building costs per sq ft.</t>
  </si>
  <si>
    <t>dom water only</t>
  </si>
  <si>
    <t>heating &amp; dom water</t>
  </si>
  <si>
    <t>clothes dryers only</t>
  </si>
  <si>
    <t>Fault</t>
  </si>
  <si>
    <t>kitchen &amp; steam</t>
  </si>
  <si>
    <t>SqFt  &amp; $/SqFt</t>
  </si>
  <si>
    <t>Transportation cost to Auxiliary</t>
  </si>
  <si>
    <t>Month</t>
  </si>
  <si>
    <t>error</t>
  </si>
  <si>
    <t>Total cost</t>
  </si>
  <si>
    <t>MMBtu per MCF</t>
  </si>
  <si>
    <t>High Temperature Hot Water MMBTU Cost Calculation</t>
  </si>
  <si>
    <t>(Error)</t>
  </si>
  <si>
    <t>new mtr</t>
  </si>
  <si>
    <t>repaired</t>
  </si>
  <si>
    <t>cu ft</t>
  </si>
  <si>
    <t>Married Student Housing</t>
  </si>
  <si>
    <t>Domestic Water Estimate</t>
  </si>
  <si>
    <t>Sq Feet</t>
  </si>
  <si>
    <t>Total Square Footage</t>
  </si>
  <si>
    <t>Annual CuFt</t>
  </si>
  <si>
    <t>CuFt / SqFt</t>
  </si>
  <si>
    <t>Source</t>
  </si>
  <si>
    <t>Annual Cost</t>
  </si>
  <si>
    <t>Married Student Housing Unit 1</t>
  </si>
  <si>
    <t>USA</t>
  </si>
  <si>
    <t>square feet</t>
  </si>
  <si>
    <t>from above</t>
  </si>
  <si>
    <t>Married Student Housing Unit 2</t>
  </si>
  <si>
    <t>MSA</t>
  </si>
  <si>
    <t>based on USA</t>
  </si>
  <si>
    <t>Married Student Housing Unit 3</t>
  </si>
  <si>
    <t>Married Student Housing Unit 5</t>
  </si>
  <si>
    <t>TOTAL</t>
  </si>
  <si>
    <t>= FY2007 and earlier Small Dorm Percentage Occupied by Housing (ANI and FTZ)</t>
  </si>
  <si>
    <t>= FY2008 and after Small Dorm Percentage Occupied by Housing (FTZ only)</t>
  </si>
  <si>
    <t>CCF = 100 cubic feet</t>
  </si>
  <si>
    <t>1.  ANI-FTZ-PRY are metered together for electricity.  This usage is multiplied by 33% for housings portion (FTZ only)</t>
  </si>
  <si>
    <t>3.  ANI-FTZ-PRY are not served by HTHW.  All heating is accomplished by natural gas fired furnaces.</t>
  </si>
  <si>
    <t>Housing Department - TOTAL</t>
  </si>
  <si>
    <t>Housing Department (Student Apts Only)</t>
  </si>
  <si>
    <t>Other Housing</t>
  </si>
  <si>
    <t>Student Apartments</t>
  </si>
  <si>
    <t>Housing Department</t>
  </si>
  <si>
    <t>Housing Department - FTZ, HAM, HIL, &amp; VBH (Old Dorms)</t>
  </si>
  <si>
    <t>OFF</t>
  </si>
  <si>
    <t>OLD DORMS</t>
  </si>
  <si>
    <t>ER000200</t>
  </si>
  <si>
    <t>CCF = 100 Cubic Feet,  MCF = Million Cubic Feet,  MMBTU = Million British Thermal Units</t>
  </si>
  <si>
    <r>
      <t>ANI-FTZ-PRY</t>
    </r>
    <r>
      <rPr>
        <b/>
        <vertAlign val="superscript"/>
        <sz val="10"/>
        <rFont val="Arial"/>
        <family val="2"/>
      </rPr>
      <t>A</t>
    </r>
  </si>
  <si>
    <r>
      <t xml:space="preserve">VBH A </t>
    </r>
    <r>
      <rPr>
        <b/>
        <vertAlign val="superscript"/>
        <sz val="10"/>
        <rFont val="Arial"/>
        <family val="2"/>
      </rPr>
      <t>note B</t>
    </r>
  </si>
  <si>
    <r>
      <t xml:space="preserve">VBH B </t>
    </r>
    <r>
      <rPr>
        <b/>
        <vertAlign val="superscript"/>
        <sz val="10"/>
        <rFont val="Arial"/>
        <family val="2"/>
      </rPr>
      <t>note B</t>
    </r>
  </si>
  <si>
    <r>
      <t xml:space="preserve">Note A </t>
    </r>
    <r>
      <rPr>
        <sz val="10"/>
        <rFont val="Arial"/>
        <family val="0"/>
      </rPr>
      <t>Total shown is for ANI, FTZ, and PRY.  2/3 of this are carried over to the total collum on the right since PRY is a non-Housing building.</t>
    </r>
  </si>
  <si>
    <r>
      <t xml:space="preserve">Note B </t>
    </r>
    <r>
      <rPr>
        <sz val="10"/>
        <rFont val="Arial"/>
        <family val="0"/>
      </rPr>
      <t>Vandenburg Hall electric &amp; heating usage is multiplied by the Housing Dept occupied portion of 90% in for summation in the monthly total column</t>
    </r>
  </si>
  <si>
    <r>
      <t>ANI - FTZ</t>
    </r>
    <r>
      <rPr>
        <b/>
        <vertAlign val="superscript"/>
        <sz val="10"/>
        <rFont val="Arial"/>
        <family val="2"/>
      </rPr>
      <t>C</t>
    </r>
  </si>
  <si>
    <r>
      <t>VBH</t>
    </r>
    <r>
      <rPr>
        <b/>
        <vertAlign val="superscript"/>
        <sz val="10"/>
        <rFont val="Arial"/>
        <family val="2"/>
      </rPr>
      <t>D</t>
    </r>
  </si>
  <si>
    <r>
      <t xml:space="preserve">Note C </t>
    </r>
    <r>
      <rPr>
        <sz val="10"/>
        <rFont val="Arial"/>
        <family val="0"/>
      </rPr>
      <t>Gas &amp; Water meters were not installed in ANI, FTZ, nor PRY.   Usage will be estimated.  Thes buildings do not use HTHW, all heating is done via natural gas fired furnaces.</t>
    </r>
  </si>
  <si>
    <r>
      <t xml:space="preserve">Note D </t>
    </r>
    <r>
      <rPr>
        <sz val="10"/>
        <rFont val="Arial"/>
        <family val="0"/>
      </rPr>
      <t>VBH gas usage factor of 1.45 due to the gas pressure at the meter of 15 PSIG.</t>
    </r>
  </si>
  <si>
    <r>
      <t xml:space="preserve">Note </t>
    </r>
    <r>
      <rPr>
        <sz val="10"/>
        <rFont val="Arial"/>
        <family val="0"/>
      </rPr>
      <t>Hamlin HTHW and DW meter was repaired and put back into service on 3-22-04</t>
    </r>
  </si>
  <si>
    <r>
      <t xml:space="preserve">Note C </t>
    </r>
    <r>
      <rPr>
        <sz val="10"/>
        <rFont val="Arial"/>
        <family val="0"/>
      </rPr>
      <t>Gas &amp; Water meters were not installed in ANI, FTZ, nor PRY.   Usage is estimated.</t>
    </r>
  </si>
  <si>
    <r>
      <t xml:space="preserve">VBH </t>
    </r>
    <r>
      <rPr>
        <b/>
        <vertAlign val="superscript"/>
        <sz val="10"/>
        <rFont val="Arial"/>
        <family val="2"/>
      </rPr>
      <t>B</t>
    </r>
  </si>
  <si>
    <t>no access</t>
  </si>
  <si>
    <t>Last Year</t>
  </si>
  <si>
    <t>FY09 Total</t>
  </si>
  <si>
    <t xml:space="preserve">Apt Meter Correction Factor = </t>
  </si>
  <si>
    <t>FY10 Total</t>
  </si>
  <si>
    <t>8/1709</t>
  </si>
  <si>
    <t>F</t>
  </si>
  <si>
    <t>Metering &amp; Disrib. O&amp;M</t>
  </si>
  <si>
    <t>Electric</t>
  </si>
  <si>
    <t>`</t>
  </si>
  <si>
    <t>FY 2012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</si>
</sst>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"/>
    <numFmt numFmtId="166" formatCode="0.0%"/>
    <numFmt numFmtId="167" formatCode="_(&quot;$&quot;* #,##0.0000_);_(&quot;$&quot;* \(#,##0.0000\);_(&quot;$&quot;* &quot;-&quot;????_);_(@_)"/>
    <numFmt numFmtId="168" formatCode="&quot;$&quot;#,##0.0000"/>
    <numFmt numFmtId="169" formatCode="_(&quot;$&quot;* #,##0.000000_);_(&quot;$&quot;* \(#,##0.000000\);_(&quot;$&quot;* &quot;-&quot;??????_);_(@_)"/>
    <numFmt numFmtId="170" formatCode="&quot;$&quot;#,##0"/>
    <numFmt numFmtId="171" formatCode="#,##0.0"/>
    <numFmt numFmtId="172" formatCode="0.0"/>
    <numFmt numFmtId="173" formatCode="_(&quot;$&quot;* #,##0.000_);_(&quot;$&quot;* \(#,##0.000\);_(&quot;$&quot;* &quot;-&quot;???_);_(@_)"/>
    <numFmt numFmtId="174" formatCode="m/d/yy;@"/>
    <numFmt numFmtId="175" formatCode="[$-409]mmm\-yy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 val="single"/>
      <sz val="14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b/>
      <vertAlign val="superscript"/>
      <sz val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i/>
      <sz val="10"/>
      <color indexed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i/>
      <sz val="11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" fontId="8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4" fontId="7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7" fontId="8" fillId="0" borderId="14" xfId="0" applyNumberFormat="1" applyFont="1" applyFill="1" applyBorder="1" applyAlignment="1">
      <alignment horizontal="center" vertical="center"/>
    </xf>
    <xf numFmtId="17" fontId="8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4" fontId="9" fillId="0" borderId="16" xfId="0" applyNumberFormat="1" applyFont="1" applyBorder="1" applyAlignment="1">
      <alignment horizontal="center" vertical="center"/>
    </xf>
    <xf numFmtId="42" fontId="7" fillId="0" borderId="17" xfId="0" applyNumberFormat="1" applyFont="1" applyFill="1" applyBorder="1" applyAlignment="1">
      <alignment horizontal="center" vertical="center"/>
    </xf>
    <xf numFmtId="42" fontId="7" fillId="0" borderId="13" xfId="0" applyNumberFormat="1" applyFont="1" applyFill="1" applyBorder="1" applyAlignment="1">
      <alignment horizontal="center" vertical="center"/>
    </xf>
    <xf numFmtId="42" fontId="7" fillId="0" borderId="12" xfId="0" applyNumberFormat="1" applyFont="1" applyFill="1" applyBorder="1" applyAlignment="1">
      <alignment horizontal="center" vertical="center"/>
    </xf>
    <xf numFmtId="42" fontId="7" fillId="0" borderId="18" xfId="0" applyNumberFormat="1" applyFont="1" applyFill="1" applyBorder="1" applyAlignment="1">
      <alignment horizontal="center" vertical="center"/>
    </xf>
    <xf numFmtId="42" fontId="7" fillId="0" borderId="14" xfId="0" applyNumberFormat="1" applyFont="1" applyFill="1" applyBorder="1" applyAlignment="1">
      <alignment horizontal="center" vertical="center"/>
    </xf>
    <xf numFmtId="42" fontId="7" fillId="0" borderId="16" xfId="0" applyNumberFormat="1" applyFont="1" applyFill="1" applyBorder="1" applyAlignment="1">
      <alignment horizontal="center" vertical="center"/>
    </xf>
    <xf numFmtId="42" fontId="7" fillId="0" borderId="19" xfId="0" applyNumberFormat="1" applyFont="1" applyFill="1" applyBorder="1" applyAlignment="1">
      <alignment horizontal="center" vertical="center"/>
    </xf>
    <xf numFmtId="42" fontId="7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" fontId="6" fillId="0" borderId="0" xfId="0" applyNumberFormat="1" applyFont="1" applyFill="1" applyBorder="1" applyAlignment="1">
      <alignment horizontal="left"/>
    </xf>
    <xf numFmtId="172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left"/>
    </xf>
    <xf numFmtId="169" fontId="0" fillId="0" borderId="0" xfId="0" applyNumberFormat="1" applyFill="1" applyBorder="1" applyAlignment="1">
      <alignment/>
    </xf>
    <xf numFmtId="44" fontId="10" fillId="0" borderId="0" xfId="0" applyNumberFormat="1" applyFont="1" applyFill="1" applyBorder="1" applyAlignment="1">
      <alignment horizontal="center"/>
    </xf>
    <xf numFmtId="42" fontId="8" fillId="0" borderId="20" xfId="0" applyNumberFormat="1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169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42" fontId="9" fillId="0" borderId="16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17" fontId="8" fillId="0" borderId="21" xfId="0" applyNumberFormat="1" applyFont="1" applyFill="1" applyBorder="1" applyAlignment="1">
      <alignment horizontal="center" vertical="center"/>
    </xf>
    <xf numFmtId="42" fontId="7" fillId="0" borderId="22" xfId="0" applyNumberFormat="1" applyFont="1" applyFill="1" applyBorder="1" applyAlignment="1">
      <alignment horizontal="center" vertical="center"/>
    </xf>
    <xf numFmtId="42" fontId="7" fillId="0" borderId="21" xfId="0" applyNumberFormat="1" applyFont="1" applyFill="1" applyBorder="1" applyAlignment="1">
      <alignment horizontal="center" vertical="center"/>
    </xf>
    <xf numFmtId="42" fontId="8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4" fontId="6" fillId="22" borderId="0" xfId="0" applyNumberFormat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22" borderId="12" xfId="0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0" fillId="4" borderId="24" xfId="0" applyNumberFormat="1" applyFont="1" applyFill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4" borderId="25" xfId="0" applyNumberFormat="1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9" fillId="4" borderId="27" xfId="0" applyNumberFormat="1" applyFont="1" applyFill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0" fillId="4" borderId="27" xfId="0" applyNumberFormat="1" applyFont="1" applyFill="1" applyBorder="1" applyAlignment="1">
      <alignment horizontal="center" vertical="center"/>
    </xf>
    <xf numFmtId="3" fontId="0" fillId="4" borderId="0" xfId="0" applyNumberFormat="1" applyFont="1" applyFill="1" applyBorder="1" applyAlignment="1">
      <alignment horizontal="center" vertical="center"/>
    </xf>
    <xf numFmtId="3" fontId="9" fillId="4" borderId="24" xfId="0" applyNumberFormat="1" applyFont="1" applyFill="1" applyBorder="1" applyAlignment="1">
      <alignment horizontal="center" vertical="center"/>
    </xf>
    <xf numFmtId="3" fontId="0" fillId="4" borderId="29" xfId="0" applyNumberFormat="1" applyFont="1" applyFill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9" fillId="4" borderId="25" xfId="0" applyNumberFormat="1" applyFont="1" applyFill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8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174" fontId="2" fillId="0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174" fontId="0" fillId="0" borderId="0" xfId="0" applyNumberFormat="1" applyFont="1" applyFill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17" fontId="9" fillId="0" borderId="0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66" fontId="10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/>
    </xf>
    <xf numFmtId="3" fontId="10" fillId="22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69" fontId="0" fillId="0" borderId="0" xfId="0" applyNumberFormat="1" applyFill="1" applyBorder="1" applyAlignment="1">
      <alignment/>
    </xf>
    <xf numFmtId="167" fontId="10" fillId="0" borderId="0" xfId="0" applyNumberFormat="1" applyFont="1" applyFill="1" applyBorder="1" applyAlignment="1">
      <alignment horizontal="center"/>
    </xf>
    <xf numFmtId="164" fontId="0" fillId="0" borderId="25" xfId="0" applyNumberFormat="1" applyFont="1" applyBorder="1" applyAlignment="1">
      <alignment horizontal="center" vertical="center"/>
    </xf>
    <xf numFmtId="42" fontId="0" fillId="0" borderId="20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42" fontId="0" fillId="0" borderId="16" xfId="0" applyNumberFormat="1" applyFont="1" applyBorder="1" applyAlignment="1">
      <alignment horizontal="center" vertical="center"/>
    </xf>
    <xf numFmtId="42" fontId="0" fillId="0" borderId="1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42" fontId="10" fillId="0" borderId="0" xfId="0" applyNumberFormat="1" applyFont="1" applyFill="1" applyAlignment="1">
      <alignment vertical="center"/>
    </xf>
    <xf numFmtId="174" fontId="2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4" fontId="2" fillId="0" borderId="0" xfId="0" applyNumberFormat="1" applyFont="1" applyAlignment="1">
      <alignment vertical="center"/>
    </xf>
    <xf numFmtId="170" fontId="0" fillId="0" borderId="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174" fontId="2" fillId="0" borderId="0" xfId="0" applyNumberFormat="1" applyFont="1" applyAlignment="1">
      <alignment horizontal="right" vertical="center"/>
    </xf>
    <xf numFmtId="0" fontId="0" fillId="22" borderId="20" xfId="0" applyFont="1" applyFill="1" applyBorder="1" applyAlignment="1">
      <alignment horizontal="center" vertical="center"/>
    </xf>
    <xf numFmtId="170" fontId="0" fillId="22" borderId="20" xfId="0" applyNumberFormat="1" applyFont="1" applyFill="1" applyBorder="1" applyAlignment="1">
      <alignment horizontal="center" vertical="center"/>
    </xf>
    <xf numFmtId="165" fontId="0" fillId="22" borderId="2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42" fontId="0" fillId="0" borderId="16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70" fontId="0" fillId="0" borderId="20" xfId="0" applyNumberFormat="1" applyFon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0" fontId="0" fillId="0" borderId="12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42" fontId="0" fillId="0" borderId="12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42" fontId="0" fillId="0" borderId="2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5" fontId="0" fillId="0" borderId="20" xfId="0" applyNumberFormat="1" applyFont="1" applyBorder="1" applyAlignment="1">
      <alignment horizontal="center" vertical="center"/>
    </xf>
    <xf numFmtId="17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0" fontId="0" fillId="0" borderId="16" xfId="0" applyNumberFormat="1" applyFont="1" applyBorder="1" applyAlignment="1">
      <alignment horizontal="center" vertical="center"/>
    </xf>
    <xf numFmtId="170" fontId="0" fillId="0" borderId="20" xfId="0" applyNumberFormat="1" applyFont="1" applyBorder="1" applyAlignment="1">
      <alignment horizontal="center" vertical="center"/>
    </xf>
    <xf numFmtId="17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22" borderId="24" xfId="0" applyNumberFormat="1" applyFont="1" applyFill="1" applyBorder="1" applyAlignment="1">
      <alignment horizontal="center" vertical="center"/>
    </xf>
    <xf numFmtId="164" fontId="0" fillId="22" borderId="27" xfId="0" applyNumberFormat="1" applyFont="1" applyFill="1" applyBorder="1" applyAlignment="1">
      <alignment horizontal="center" vertical="center"/>
    </xf>
    <xf numFmtId="170" fontId="0" fillId="22" borderId="16" xfId="0" applyNumberFormat="1" applyFont="1" applyFill="1" applyBorder="1" applyAlignment="1">
      <alignment horizontal="center" vertical="center"/>
    </xf>
    <xf numFmtId="0" fontId="0" fillId="22" borderId="12" xfId="0" applyFont="1" applyFill="1" applyBorder="1" applyAlignment="1">
      <alignment horizontal="center" vertical="center"/>
    </xf>
    <xf numFmtId="164" fontId="0" fillId="22" borderId="24" xfId="0" applyNumberFormat="1" applyFont="1" applyFill="1" applyBorder="1" applyAlignment="1">
      <alignment horizontal="center" vertical="center"/>
    </xf>
    <xf numFmtId="0" fontId="0" fillId="22" borderId="16" xfId="0" applyFont="1" applyFill="1" applyBorder="1" applyAlignment="1">
      <alignment horizontal="center" vertical="center"/>
    </xf>
    <xf numFmtId="3" fontId="0" fillId="22" borderId="25" xfId="0" applyNumberFormat="1" applyFont="1" applyFill="1" applyBorder="1" applyAlignment="1">
      <alignment horizontal="center" vertical="center"/>
    </xf>
    <xf numFmtId="164" fontId="0" fillId="22" borderId="25" xfId="0" applyNumberFormat="1" applyFont="1" applyFill="1" applyBorder="1" applyAlignment="1">
      <alignment horizontal="center" vertical="center"/>
    </xf>
    <xf numFmtId="170" fontId="0" fillId="22" borderId="1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7" fillId="0" borderId="29" xfId="0" applyNumberFormat="1" applyFont="1" applyBorder="1" applyAlignment="1">
      <alignment horizontal="center" vertical="center"/>
    </xf>
    <xf numFmtId="170" fontId="0" fillId="0" borderId="29" xfId="0" applyNumberFormat="1" applyFont="1" applyFill="1" applyBorder="1" applyAlignment="1">
      <alignment horizontal="center" vertical="center"/>
    </xf>
    <xf numFmtId="3" fontId="9" fillId="4" borderId="0" xfId="0" applyNumberFormat="1" applyFont="1" applyFill="1" applyBorder="1" applyAlignment="1">
      <alignment horizontal="center" vertical="center"/>
    </xf>
    <xf numFmtId="3" fontId="9" fillId="4" borderId="29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170" fontId="9" fillId="0" borderId="0" xfId="0" applyNumberFormat="1" applyFont="1" applyBorder="1" applyAlignment="1">
      <alignment horizontal="center" vertical="center"/>
    </xf>
    <xf numFmtId="42" fontId="7" fillId="0" borderId="0" xfId="0" applyNumberFormat="1" applyFont="1" applyAlignment="1">
      <alignment vertical="center"/>
    </xf>
    <xf numFmtId="42" fontId="7" fillId="0" borderId="0" xfId="0" applyNumberFormat="1" applyFont="1" applyFill="1" applyAlignment="1">
      <alignment vertical="center"/>
    </xf>
    <xf numFmtId="3" fontId="0" fillId="22" borderId="0" xfId="0" applyNumberFormat="1" applyFont="1" applyFill="1" applyBorder="1" applyAlignment="1">
      <alignment horizontal="center" vertical="center"/>
    </xf>
    <xf numFmtId="42" fontId="0" fillId="22" borderId="16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165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22" borderId="23" xfId="0" applyNumberFormat="1" applyFont="1" applyFill="1" applyBorder="1" applyAlignment="1">
      <alignment horizontal="center" vertical="center"/>
    </xf>
    <xf numFmtId="164" fontId="0" fillId="22" borderId="20" xfId="0" applyNumberFormat="1" applyFont="1" applyFill="1" applyBorder="1" applyAlignment="1">
      <alignment horizontal="center" vertical="center"/>
    </xf>
    <xf numFmtId="42" fontId="0" fillId="22" borderId="20" xfId="0" applyNumberFormat="1" applyFont="1" applyFill="1" applyBorder="1" applyAlignment="1">
      <alignment horizontal="center" vertical="center"/>
    </xf>
    <xf numFmtId="3" fontId="0" fillId="4" borderId="25" xfId="0" applyNumberFormat="1" applyFont="1" applyFill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4" borderId="29" xfId="0" applyNumberFormat="1" applyFont="1" applyFill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3" fontId="0" fillId="11" borderId="24" xfId="0" applyNumberFormat="1" applyFont="1" applyFill="1" applyBorder="1" applyAlignment="1">
      <alignment horizontal="center" vertical="center"/>
    </xf>
    <xf numFmtId="3" fontId="0" fillId="11" borderId="28" xfId="0" applyNumberFormat="1" applyFont="1" applyFill="1" applyBorder="1" applyAlignment="1">
      <alignment horizontal="center" vertical="center"/>
    </xf>
    <xf numFmtId="3" fontId="0" fillId="11" borderId="23" xfId="0" applyNumberFormat="1" applyFont="1" applyFill="1" applyBorder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9" fontId="0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/>
    </xf>
    <xf numFmtId="0" fontId="2" fillId="0" borderId="30" xfId="0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4" fontId="2" fillId="0" borderId="0" xfId="0" applyNumberFormat="1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" fontId="2" fillId="4" borderId="25" xfId="0" applyNumberFormat="1" applyFont="1" applyFill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174" fontId="19" fillId="0" borderId="0" xfId="0" applyNumberFormat="1" applyFont="1" applyAlignment="1">
      <alignment vertical="center"/>
    </xf>
    <xf numFmtId="3" fontId="0" fillId="4" borderId="24" xfId="0" applyNumberFormat="1" applyFont="1" applyFill="1" applyBorder="1" applyAlignment="1">
      <alignment horizontal="center" vertical="center"/>
    </xf>
    <xf numFmtId="3" fontId="20" fillId="0" borderId="23" xfId="0" applyNumberFormat="1" applyFont="1" applyBorder="1" applyAlignment="1">
      <alignment horizontal="center" vertical="center"/>
    </xf>
    <xf numFmtId="3" fontId="0" fillId="4" borderId="24" xfId="0" applyNumberFormat="1" applyFont="1" applyFill="1" applyBorder="1" applyAlignment="1">
      <alignment horizontal="center" vertical="center"/>
    </xf>
    <xf numFmtId="3" fontId="20" fillId="4" borderId="24" xfId="0" applyNumberFormat="1" applyFont="1" applyFill="1" applyBorder="1" applyAlignment="1">
      <alignment horizontal="center" vertical="center"/>
    </xf>
    <xf numFmtId="3" fontId="20" fillId="4" borderId="27" xfId="0" applyNumberFormat="1" applyFont="1" applyFill="1" applyBorder="1" applyAlignment="1">
      <alignment horizontal="center" vertical="center"/>
    </xf>
    <xf numFmtId="3" fontId="20" fillId="0" borderId="28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4" borderId="25" xfId="0" applyNumberFormat="1" applyFont="1" applyFill="1" applyBorder="1" applyAlignment="1">
      <alignment horizontal="center" vertical="center"/>
    </xf>
    <xf numFmtId="3" fontId="20" fillId="0" borderId="26" xfId="0" applyNumberFormat="1" applyFont="1" applyBorder="1" applyAlignment="1">
      <alignment horizontal="center" vertical="center"/>
    </xf>
    <xf numFmtId="3" fontId="0" fillId="4" borderId="25" xfId="0" applyNumberFormat="1" applyFont="1" applyFill="1" applyBorder="1" applyAlignment="1">
      <alignment horizontal="center" vertical="center"/>
    </xf>
    <xf numFmtId="3" fontId="20" fillId="4" borderId="25" xfId="0" applyNumberFormat="1" applyFont="1" applyFill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4" borderId="24" xfId="0" applyNumberFormat="1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2" fontId="0" fillId="0" borderId="16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2" fontId="0" fillId="0" borderId="20" xfId="0" applyNumberFormat="1" applyFont="1" applyBorder="1" applyAlignment="1">
      <alignment horizontal="center" vertical="center"/>
    </xf>
    <xf numFmtId="165" fontId="0" fillId="0" borderId="26" xfId="0" applyNumberFormat="1" applyFont="1" applyBorder="1" applyAlignment="1">
      <alignment horizontal="center" vertical="center"/>
    </xf>
    <xf numFmtId="3" fontId="0" fillId="4" borderId="27" xfId="0" applyNumberFormat="1" applyFont="1" applyFill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42" fontId="0" fillId="0" borderId="16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42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42" fontId="0" fillId="0" borderId="20" xfId="0" applyNumberFormat="1" applyFon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3" fontId="0" fillId="4" borderId="31" xfId="0" applyNumberFormat="1" applyFont="1" applyFill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4" borderId="31" xfId="0" applyNumberFormat="1" applyFont="1" applyFill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21" fillId="0" borderId="28" xfId="0" applyNumberFormat="1" applyFont="1" applyBorder="1" applyAlignment="1">
      <alignment horizontal="center" vertical="center"/>
    </xf>
    <xf numFmtId="3" fontId="0" fillId="4" borderId="27" xfId="0" applyNumberFormat="1" applyFont="1" applyFill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42" fontId="0" fillId="0" borderId="16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horizontal="center" vertical="center"/>
    </xf>
    <xf numFmtId="3" fontId="0" fillId="4" borderId="24" xfId="0" applyNumberFormat="1" applyFont="1" applyFill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3" fontId="21" fillId="0" borderId="26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42" fontId="0" fillId="0" borderId="2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3" fontId="0" fillId="4" borderId="25" xfId="0" applyNumberFormat="1" applyFon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3" fontId="0" fillId="4" borderId="0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3" fontId="0" fillId="22" borderId="24" xfId="0" applyNumberFormat="1" applyFont="1" applyFill="1" applyBorder="1" applyAlignment="1">
      <alignment horizontal="center" vertical="center"/>
    </xf>
    <xf numFmtId="164" fontId="0" fillId="22" borderId="12" xfId="0" applyNumberFormat="1" applyFont="1" applyFill="1" applyBorder="1" applyAlignment="1">
      <alignment horizontal="center" vertical="center"/>
    </xf>
    <xf numFmtId="42" fontId="0" fillId="22" borderId="16" xfId="0" applyNumberFormat="1" applyFont="1" applyFill="1" applyBorder="1" applyAlignment="1">
      <alignment horizontal="center" vertical="center"/>
    </xf>
    <xf numFmtId="0" fontId="0" fillId="22" borderId="23" xfId="0" applyFont="1" applyFill="1" applyBorder="1" applyAlignment="1">
      <alignment horizontal="center" vertical="center"/>
    </xf>
    <xf numFmtId="3" fontId="0" fillId="22" borderId="16" xfId="0" applyNumberFormat="1" applyFont="1" applyFill="1" applyBorder="1" applyAlignment="1">
      <alignment horizontal="center" vertical="center"/>
    </xf>
    <xf numFmtId="164" fontId="0" fillId="22" borderId="16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74" fontId="2" fillId="22" borderId="33" xfId="0" applyNumberFormat="1" applyFont="1" applyFill="1" applyBorder="1" applyAlignment="1">
      <alignment horizontal="center" vertical="center"/>
    </xf>
    <xf numFmtId="165" fontId="2" fillId="22" borderId="2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170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5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center"/>
    </xf>
    <xf numFmtId="3" fontId="2" fillId="0" borderId="20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170" fontId="0" fillId="0" borderId="11" xfId="0" applyNumberFormat="1" applyFont="1" applyFill="1" applyBorder="1" applyAlignment="1">
      <alignment horizontal="center" vertical="center"/>
    </xf>
    <xf numFmtId="3" fontId="0" fillId="4" borderId="25" xfId="0" applyNumberFormat="1" applyFont="1" applyFill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0" fontId="0" fillId="0" borderId="29" xfId="0" applyNumberFormat="1" applyFon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0" fontId="0" fillId="0" borderId="29" xfId="0" applyNumberFormat="1" applyFont="1" applyFill="1" applyBorder="1" applyAlignment="1">
      <alignment horizontal="center" vertical="center"/>
    </xf>
    <xf numFmtId="3" fontId="0" fillId="11" borderId="25" xfId="0" applyNumberFormat="1" applyFont="1" applyFill="1" applyBorder="1" applyAlignment="1">
      <alignment horizontal="center" vertical="center"/>
    </xf>
    <xf numFmtId="3" fontId="0" fillId="11" borderId="26" xfId="0" applyNumberFormat="1" applyFont="1" applyFill="1" applyBorder="1" applyAlignment="1">
      <alignment horizontal="center" vertical="center"/>
    </xf>
    <xf numFmtId="3" fontId="0" fillId="22" borderId="12" xfId="0" applyNumberFormat="1" applyFont="1" applyFill="1" applyBorder="1" applyAlignment="1">
      <alignment horizontal="center" vertical="center"/>
    </xf>
    <xf numFmtId="170" fontId="0" fillId="22" borderId="0" xfId="0" applyNumberFormat="1" applyFont="1" applyFill="1" applyBorder="1" applyAlignment="1">
      <alignment horizontal="center" vertical="center"/>
    </xf>
    <xf numFmtId="3" fontId="0" fillId="22" borderId="20" xfId="0" applyNumberFormat="1" applyFont="1" applyFill="1" applyBorder="1" applyAlignment="1">
      <alignment horizontal="center" vertical="center"/>
    </xf>
    <xf numFmtId="0" fontId="0" fillId="22" borderId="20" xfId="0" applyFont="1" applyFill="1" applyBorder="1" applyAlignment="1">
      <alignment horizontal="center" vertical="center"/>
    </xf>
    <xf numFmtId="170" fontId="0" fillId="22" borderId="29" xfId="0" applyNumberFormat="1" applyFont="1" applyFill="1" applyBorder="1" applyAlignment="1">
      <alignment horizontal="center" vertical="center"/>
    </xf>
    <xf numFmtId="165" fontId="0" fillId="22" borderId="20" xfId="0" applyNumberFormat="1" applyFont="1" applyFill="1" applyBorder="1" applyAlignment="1">
      <alignment horizontal="center" vertical="center"/>
    </xf>
    <xf numFmtId="174" fontId="2" fillId="22" borderId="0" xfId="0" applyNumberFormat="1" applyFont="1" applyFill="1" applyBorder="1" applyAlignment="1">
      <alignment horizontal="center" vertical="center"/>
    </xf>
    <xf numFmtId="165" fontId="2" fillId="22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vertical="center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" fontId="0" fillId="0" borderId="4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42" fontId="0" fillId="0" borderId="1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42" fontId="9" fillId="0" borderId="20" xfId="0" applyNumberFormat="1" applyFont="1" applyFill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42" fontId="9" fillId="0" borderId="12" xfId="0" applyNumberFormat="1" applyFont="1" applyFill="1" applyBorder="1" applyAlignment="1">
      <alignment horizontal="center" vertical="center"/>
    </xf>
    <xf numFmtId="42" fontId="9" fillId="0" borderId="16" xfId="0" applyNumberFormat="1" applyFont="1" applyFill="1" applyBorder="1" applyAlignment="1">
      <alignment horizontal="center" vertical="center"/>
    </xf>
    <xf numFmtId="3" fontId="0" fillId="4" borderId="25" xfId="0" applyNumberFormat="1" applyFont="1" applyFill="1" applyBorder="1" applyAlignment="1">
      <alignment horizontal="center"/>
    </xf>
    <xf numFmtId="42" fontId="0" fillId="22" borderId="12" xfId="0" applyNumberFormat="1" applyFont="1" applyFill="1" applyBorder="1" applyAlignment="1">
      <alignment horizontal="center" vertical="center"/>
    </xf>
    <xf numFmtId="164" fontId="0" fillId="22" borderId="20" xfId="0" applyNumberFormat="1" applyFont="1" applyFill="1" applyBorder="1" applyAlignment="1">
      <alignment horizontal="center" vertical="center"/>
    </xf>
    <xf numFmtId="42" fontId="0" fillId="22" borderId="20" xfId="0" applyNumberFormat="1" applyFont="1" applyFill="1" applyBorder="1" applyAlignment="1">
      <alignment horizontal="center" vertical="center"/>
    </xf>
    <xf numFmtId="0" fontId="7" fillId="22" borderId="0" xfId="0" applyFont="1" applyFill="1" applyAlignment="1">
      <alignment vertical="center"/>
    </xf>
    <xf numFmtId="165" fontId="0" fillId="22" borderId="26" xfId="0" applyNumberFormat="1" applyFont="1" applyFill="1" applyBorder="1" applyAlignment="1">
      <alignment horizontal="center" vertical="center"/>
    </xf>
    <xf numFmtId="3" fontId="9" fillId="4" borderId="11" xfId="0" applyNumberFormat="1" applyFont="1" applyFill="1" applyBorder="1" applyAlignment="1">
      <alignment horizontal="center" vertical="center"/>
    </xf>
    <xf numFmtId="3" fontId="0" fillId="22" borderId="29" xfId="0" applyNumberFormat="1" applyFont="1" applyFill="1" applyBorder="1" applyAlignment="1">
      <alignment horizontal="center" vertical="center"/>
    </xf>
    <xf numFmtId="3" fontId="0" fillId="4" borderId="29" xfId="0" applyNumberFormat="1" applyFont="1" applyFill="1" applyBorder="1" applyAlignment="1">
      <alignment horizontal="center" vertical="center"/>
    </xf>
    <xf numFmtId="3" fontId="0" fillId="4" borderId="24" xfId="0" applyNumberFormat="1" applyFont="1" applyFill="1" applyBorder="1" applyAlignment="1">
      <alignment horizontal="center" vertical="center"/>
    </xf>
    <xf numFmtId="3" fontId="0" fillId="4" borderId="25" xfId="0" applyNumberFormat="1" applyFont="1" applyFill="1" applyBorder="1" applyAlignment="1">
      <alignment horizontal="center" vertical="center"/>
    </xf>
    <xf numFmtId="3" fontId="0" fillId="4" borderId="27" xfId="0" applyNumberFormat="1" applyFont="1" applyFill="1" applyBorder="1" applyAlignment="1">
      <alignment horizontal="center" vertical="center"/>
    </xf>
    <xf numFmtId="42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42" fontId="8" fillId="24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74" fontId="25" fillId="0" borderId="0" xfId="0" applyNumberFormat="1" applyFont="1" applyFill="1" applyAlignment="1">
      <alignment horizontal="right" vertical="center"/>
    </xf>
    <xf numFmtId="3" fontId="26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70" fontId="25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3" fontId="0" fillId="4" borderId="24" xfId="0" applyNumberFormat="1" applyFill="1" applyBorder="1" applyAlignment="1">
      <alignment horizontal="center"/>
    </xf>
    <xf numFmtId="3" fontId="0" fillId="4" borderId="25" xfId="0" applyNumberFormat="1" applyFill="1" applyBorder="1" applyAlignment="1">
      <alignment horizontal="center"/>
    </xf>
    <xf numFmtId="3" fontId="9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right" vertical="center"/>
    </xf>
    <xf numFmtId="3" fontId="0" fillId="0" borderId="28" xfId="0" applyNumberFormat="1" applyFont="1" applyBorder="1" applyAlignment="1">
      <alignment horizontal="center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4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9" fillId="4" borderId="11" xfId="0" applyNumberFormat="1" applyFont="1" applyFill="1" applyBorder="1" applyAlignment="1">
      <alignment horizontal="center" vertical="center"/>
    </xf>
    <xf numFmtId="0" fontId="8" fillId="11" borderId="0" xfId="0" applyFont="1" applyFill="1" applyAlignment="1">
      <alignment vertical="center"/>
    </xf>
    <xf numFmtId="3" fontId="0" fillId="4" borderId="25" xfId="0" applyNumberFormat="1" applyFont="1" applyFill="1" applyBorder="1" applyAlignment="1">
      <alignment horizontal="center"/>
    </xf>
    <xf numFmtId="3" fontId="0" fillId="4" borderId="27" xfId="0" applyNumberFormat="1" applyFill="1" applyBorder="1" applyAlignment="1">
      <alignment horizontal="center"/>
    </xf>
    <xf numFmtId="3" fontId="9" fillId="4" borderId="0" xfId="0" applyNumberFormat="1" applyFont="1" applyFill="1" applyBorder="1" applyAlignment="1">
      <alignment horizontal="center" vertical="center"/>
    </xf>
    <xf numFmtId="3" fontId="9" fillId="4" borderId="29" xfId="0" applyNumberFormat="1" applyFont="1" applyFill="1" applyBorder="1" applyAlignment="1">
      <alignment horizontal="center" vertical="center"/>
    </xf>
    <xf numFmtId="3" fontId="0" fillId="4" borderId="27" xfId="0" applyNumberFormat="1" applyFont="1" applyFill="1" applyBorder="1" applyAlignment="1">
      <alignment horizontal="center"/>
    </xf>
    <xf numFmtId="3" fontId="0" fillId="4" borderId="24" xfId="0" applyNumberFormat="1" applyFont="1" applyFill="1" applyBorder="1" applyAlignment="1">
      <alignment horizontal="center"/>
    </xf>
    <xf numFmtId="3" fontId="0" fillId="4" borderId="25" xfId="0" applyNumberFormat="1" applyFont="1" applyFill="1" applyBorder="1" applyAlignment="1">
      <alignment horizontal="center"/>
    </xf>
    <xf numFmtId="175" fontId="0" fillId="0" borderId="0" xfId="0" applyNumberFormat="1" applyFont="1" applyFill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vertical="center"/>
    </xf>
    <xf numFmtId="174" fontId="2" fillId="0" borderId="0" xfId="0" applyNumberFormat="1" applyFont="1" applyFill="1" applyAlignment="1">
      <alignment vertical="center"/>
    </xf>
    <xf numFmtId="3" fontId="0" fillId="0" borderId="11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9" fillId="0" borderId="23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175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175" fontId="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Fill="1" applyAlignment="1">
      <alignment/>
    </xf>
    <xf numFmtId="42" fontId="7" fillId="22" borderId="0" xfId="0" applyNumberFormat="1" applyFont="1" applyFill="1" applyAlignment="1">
      <alignment vertical="center"/>
    </xf>
    <xf numFmtId="3" fontId="0" fillId="4" borderId="11" xfId="0" applyNumberForma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3" fontId="0" fillId="4" borderId="29" xfId="0" applyNumberFormat="1" applyFill="1" applyBorder="1" applyAlignment="1">
      <alignment horizontal="center"/>
    </xf>
    <xf numFmtId="0" fontId="8" fillId="11" borderId="27" xfId="0" applyFont="1" applyFill="1" applyBorder="1" applyAlignment="1">
      <alignment vertical="center"/>
    </xf>
    <xf numFmtId="0" fontId="0" fillId="11" borderId="0" xfId="0" applyFont="1" applyFill="1" applyAlignment="1">
      <alignment vertical="center"/>
    </xf>
    <xf numFmtId="3" fontId="2" fillId="4" borderId="0" xfId="0" applyNumberFormat="1" applyFont="1" applyFill="1" applyBorder="1" applyAlignment="1">
      <alignment horizontal="center" vertical="center"/>
    </xf>
    <xf numFmtId="3" fontId="25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170" fontId="27" fillId="0" borderId="10" xfId="0" applyNumberFormat="1" applyFont="1" applyBorder="1" applyAlignment="1">
      <alignment horizontal="center" vertical="center"/>
    </xf>
    <xf numFmtId="165" fontId="0" fillId="22" borderId="23" xfId="0" applyNumberFormat="1" applyFont="1" applyFill="1" applyBorder="1" applyAlignment="1">
      <alignment horizontal="center" vertical="center"/>
    </xf>
    <xf numFmtId="3" fontId="0" fillId="22" borderId="27" xfId="0" applyNumberFormat="1" applyFont="1" applyFill="1" applyBorder="1" applyAlignment="1">
      <alignment horizontal="center" vertical="center"/>
    </xf>
    <xf numFmtId="0" fontId="0" fillId="22" borderId="28" xfId="0" applyFont="1" applyFill="1" applyBorder="1" applyAlignment="1">
      <alignment horizontal="center" vertical="center"/>
    </xf>
    <xf numFmtId="3" fontId="0" fillId="22" borderId="25" xfId="0" applyNumberFormat="1" applyFont="1" applyFill="1" applyBorder="1" applyAlignment="1">
      <alignment horizontal="center" vertical="center"/>
    </xf>
    <xf numFmtId="42" fontId="0" fillId="22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6" fillId="22" borderId="10" xfId="0" applyNumberFormat="1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0" fillId="0" borderId="30" xfId="0" applyBorder="1" applyAlignment="1">
      <alignment/>
    </xf>
    <xf numFmtId="0" fontId="0" fillId="20" borderId="43" xfId="0" applyFill="1" applyBorder="1" applyAlignment="1">
      <alignment/>
    </xf>
    <xf numFmtId="167" fontId="0" fillId="0" borderId="30" xfId="0" applyNumberFormat="1" applyBorder="1" applyAlignment="1">
      <alignment/>
    </xf>
    <xf numFmtId="9" fontId="0" fillId="0" borderId="44" xfId="0" applyNumberFormat="1" applyBorder="1" applyAlignment="1">
      <alignment horizontal="center"/>
    </xf>
    <xf numFmtId="44" fontId="0" fillId="0" borderId="43" xfId="0" applyNumberFormat="1" applyBorder="1" applyAlignment="1">
      <alignment/>
    </xf>
    <xf numFmtId="167" fontId="2" fillId="22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104775</xdr:rowOff>
    </xdr:from>
    <xdr:to>
      <xdr:col>7</xdr:col>
      <xdr:colOff>581025</xdr:colOff>
      <xdr:row>2</xdr:row>
      <xdr:rowOff>161925</xdr:rowOff>
    </xdr:to>
    <xdr:pic>
      <xdr:nvPicPr>
        <xdr:cNvPr id="1" name="CommandButton1" descr="Print Entire WorkBo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04775"/>
          <a:ext cx="1162050" cy="552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581025</xdr:colOff>
      <xdr:row>80</xdr:row>
      <xdr:rowOff>28575</xdr:rowOff>
    </xdr:from>
    <xdr:to>
      <xdr:col>7</xdr:col>
      <xdr:colOff>447675</xdr:colOff>
      <xdr:row>88</xdr:row>
      <xdr:rowOff>28575</xdr:rowOff>
    </xdr:to>
    <xdr:sp>
      <xdr:nvSpPr>
        <xdr:cNvPr id="2" name="AutoShape 2"/>
        <xdr:cNvSpPr>
          <a:spLocks/>
        </xdr:cNvSpPr>
      </xdr:nvSpPr>
      <xdr:spPr>
        <a:xfrm rot="20374513">
          <a:off x="771525" y="16459200"/>
          <a:ext cx="7305675" cy="1628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25400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FY2012 Estimate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104775</xdr:rowOff>
    </xdr:from>
    <xdr:to>
      <xdr:col>7</xdr:col>
      <xdr:colOff>581025</xdr:colOff>
      <xdr:row>2</xdr:row>
      <xdr:rowOff>161925</xdr:rowOff>
    </xdr:to>
    <xdr:pic>
      <xdr:nvPicPr>
        <xdr:cNvPr id="1" name="CommandButton1" descr="Print Entire WorkBo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04775"/>
          <a:ext cx="1162050" cy="552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104775</xdr:rowOff>
    </xdr:from>
    <xdr:to>
      <xdr:col>7</xdr:col>
      <xdr:colOff>581025</xdr:colOff>
      <xdr:row>2</xdr:row>
      <xdr:rowOff>161925</xdr:rowOff>
    </xdr:to>
    <xdr:pic>
      <xdr:nvPicPr>
        <xdr:cNvPr id="1" name="CommandButton1" descr="Print Entire WorkBo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04775"/>
          <a:ext cx="1162050" cy="552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1"/>
  <sheetViews>
    <sheetView tabSelected="1" view="pageBreakPreview" zoomScale="75" zoomScaleNormal="75" zoomScaleSheetLayoutView="75" zoomScalePageLayoutView="0" workbookViewId="0" topLeftCell="A1">
      <pane xSplit="2" ySplit="4" topLeftCell="C7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89" sqref="L89"/>
    </sheetView>
  </sheetViews>
  <sheetFormatPr defaultColWidth="9.140625" defaultRowHeight="12.75"/>
  <cols>
    <col min="1" max="1" width="2.8515625" style="0" customWidth="1"/>
    <col min="2" max="2" width="14.00390625" style="0" customWidth="1"/>
    <col min="3" max="6" width="19.421875" style="0" customWidth="1"/>
    <col min="7" max="7" width="19.8515625" style="0" customWidth="1"/>
    <col min="8" max="8" width="19.421875" style="0" customWidth="1"/>
    <col min="9" max="9" width="13.57421875" style="0" customWidth="1"/>
    <col min="10" max="10" width="11.421875" style="0" bestFit="1" customWidth="1"/>
    <col min="11" max="11" width="12.8515625" style="0" customWidth="1"/>
  </cols>
  <sheetData>
    <row r="1" s="2" customFormat="1" ht="19.5" customHeight="1">
      <c r="B1" s="1" t="s">
        <v>111</v>
      </c>
    </row>
    <row r="2" s="2" customFormat="1" ht="19.5" customHeight="1">
      <c r="B2" s="1" t="s">
        <v>4</v>
      </c>
    </row>
    <row r="3" s="2" customFormat="1" ht="19.5" customHeight="1" thickBot="1">
      <c r="B3" s="3" t="s">
        <v>39</v>
      </c>
    </row>
    <row r="4" spans="2:8" s="8" customFormat="1" ht="19.5" customHeight="1" thickBot="1">
      <c r="B4" s="4"/>
      <c r="C4" s="5" t="s">
        <v>0</v>
      </c>
      <c r="D4" s="5" t="s">
        <v>1</v>
      </c>
      <c r="E4" s="6" t="s">
        <v>3</v>
      </c>
      <c r="F4" s="5" t="s">
        <v>62</v>
      </c>
      <c r="G4" s="5" t="s">
        <v>2</v>
      </c>
      <c r="H4" s="7" t="s">
        <v>5</v>
      </c>
    </row>
    <row r="5" spans="2:10" s="12" customFormat="1" ht="15.75">
      <c r="B5" s="9">
        <v>37803</v>
      </c>
      <c r="C5" s="18">
        <f>'Usage and Cost'!AE12</f>
        <v>20385.674381358396</v>
      </c>
      <c r="D5" s="19">
        <f>'Usage and Cost'!AE121</f>
        <v>3106.5278000000003</v>
      </c>
      <c r="E5" s="19">
        <f>'Usage and Cost'!AE232</f>
        <v>8130.653085561497</v>
      </c>
      <c r="F5" s="19">
        <f>'Usage and Cost'!AE344</f>
        <v>1899.1665</v>
      </c>
      <c r="G5" s="18">
        <f>SUM(C5:F5)</f>
        <v>33522.0217669199</v>
      </c>
      <c r="H5" s="20"/>
      <c r="I5" s="10"/>
      <c r="J5" s="11"/>
    </row>
    <row r="6" spans="2:8" s="12" customFormat="1" ht="15.75">
      <c r="B6" s="13">
        <v>37834</v>
      </c>
      <c r="C6" s="21">
        <f>'Usage and Cost'!AE13</f>
        <v>24152.842381358398</v>
      </c>
      <c r="D6" s="22">
        <f>'Usage and Cost'!AE122</f>
        <v>3338.8213499999997</v>
      </c>
      <c r="E6" s="22">
        <f>'Usage and Cost'!AE233</f>
        <v>11557.810176470588</v>
      </c>
      <c r="F6" s="22">
        <f>'Usage and Cost'!AE345</f>
        <v>2704.779</v>
      </c>
      <c r="G6" s="21">
        <f>SUM(C6:F6)</f>
        <v>41754.25290782899</v>
      </c>
      <c r="H6" s="23"/>
    </row>
    <row r="7" spans="2:8" s="12" customFormat="1" ht="16.5" thickBot="1">
      <c r="B7" s="14">
        <v>37865</v>
      </c>
      <c r="C7" s="24">
        <f>'Usage and Cost'!AE14</f>
        <v>37329.32482278848</v>
      </c>
      <c r="D7" s="25">
        <f>'Usage and Cost'!AE123</f>
        <v>7126.03235</v>
      </c>
      <c r="E7" s="25">
        <f>'Usage and Cost'!AE234</f>
        <v>14525.842729946526</v>
      </c>
      <c r="F7" s="25">
        <f>'Usage and Cost'!AE346</f>
        <v>3120.5789999999997</v>
      </c>
      <c r="G7" s="24">
        <f>SUM(C7:F7)</f>
        <v>62101.77890273501</v>
      </c>
      <c r="H7" s="34">
        <f>SUM(G5:G7)</f>
        <v>137378.0535774839</v>
      </c>
    </row>
    <row r="8" spans="2:8" s="12" customFormat="1" ht="15.75">
      <c r="B8" s="9">
        <v>37895</v>
      </c>
      <c r="C8" s="18">
        <f>'Usage and Cost'!AE15</f>
        <v>32585.431663210926</v>
      </c>
      <c r="D8" s="19">
        <f>'Usage and Cost'!AE124</f>
        <v>11590.7391</v>
      </c>
      <c r="E8" s="19">
        <f>'Usage and Cost'!AE235</f>
        <v>22512.479909090907</v>
      </c>
      <c r="F8" s="19">
        <f>'Usage and Cost'!AE347</f>
        <v>22518.688499999997</v>
      </c>
      <c r="G8" s="18">
        <f aca="true" t="shared" si="0" ref="G8:G16">SUM(C8:F8)</f>
        <v>89207.33917230181</v>
      </c>
      <c r="H8" s="20"/>
    </row>
    <row r="9" spans="2:8" s="12" customFormat="1" ht="15.75">
      <c r="B9" s="13">
        <v>37926</v>
      </c>
      <c r="C9" s="21">
        <f>'Usage and Cost'!AE16</f>
        <v>31239.59224261215</v>
      </c>
      <c r="D9" s="22">
        <f>'Usage and Cost'!AE125</f>
        <v>14917.20095</v>
      </c>
      <c r="E9" s="22">
        <f>'Usage and Cost'!AE236</f>
        <v>19421.8519973262</v>
      </c>
      <c r="F9" s="22">
        <f>'Usage and Cost'!AE348</f>
        <v>24740.1</v>
      </c>
      <c r="G9" s="21">
        <f t="shared" si="0"/>
        <v>90318.74518993834</v>
      </c>
      <c r="H9" s="23"/>
    </row>
    <row r="10" spans="2:8" s="12" customFormat="1" ht="16.5" thickBot="1">
      <c r="B10" s="14">
        <v>37956</v>
      </c>
      <c r="C10" s="24">
        <f>'Usage and Cost'!AE17</f>
        <v>39700.451311694604</v>
      </c>
      <c r="D10" s="25">
        <f>'Usage and Cost'!AE126</f>
        <v>18458.0903675</v>
      </c>
      <c r="E10" s="25">
        <f>'Usage and Cost'!AE237</f>
        <v>20624.720139037432</v>
      </c>
      <c r="F10" s="25">
        <f>'Usage and Cost'!AE349</f>
        <v>49221.05265</v>
      </c>
      <c r="G10" s="24">
        <f t="shared" si="0"/>
        <v>128004.31446823204</v>
      </c>
      <c r="H10" s="34">
        <f>SUM(G8:G10)</f>
        <v>307530.3988304722</v>
      </c>
    </row>
    <row r="11" spans="2:8" s="12" customFormat="1" ht="15.75">
      <c r="B11" s="9">
        <v>37987</v>
      </c>
      <c r="C11" s="18">
        <f>'Usage and Cost'!AE18</f>
        <v>30715.94067435326</v>
      </c>
      <c r="D11" s="19">
        <f>'Usage and Cost'!AE127</f>
        <v>19989.0746425</v>
      </c>
      <c r="E11" s="19">
        <f>'Usage and Cost'!AE238</f>
        <v>16914.609886809267</v>
      </c>
      <c r="F11" s="19">
        <f>'Usage and Cost'!AE350</f>
        <v>40037.174100000004</v>
      </c>
      <c r="G11" s="18">
        <f t="shared" si="0"/>
        <v>107656.79930366253</v>
      </c>
      <c r="H11" s="20"/>
    </row>
    <row r="12" spans="2:8" s="12" customFormat="1" ht="15.75">
      <c r="B12" s="13">
        <v>38018</v>
      </c>
      <c r="C12" s="21">
        <f>'Usage and Cost'!AE19</f>
        <v>30032.44734347447</v>
      </c>
      <c r="D12" s="22">
        <f>'Usage and Cost'!AE128</f>
        <v>17907.773872499998</v>
      </c>
      <c r="E12" s="22">
        <f>'Usage and Cost'!AE239</f>
        <v>17029.537898989896</v>
      </c>
      <c r="F12" s="22">
        <f>'Usage and Cost'!AE351</f>
        <v>41511.80879999999</v>
      </c>
      <c r="G12" s="21">
        <f t="shared" si="0"/>
        <v>106481.56791496435</v>
      </c>
      <c r="H12" s="23"/>
    </row>
    <row r="13" spans="2:8" s="12" customFormat="1" ht="16.5" thickBot="1">
      <c r="B13" s="14">
        <v>38047</v>
      </c>
      <c r="C13" s="24">
        <f>'Usage and Cost'!AE20</f>
        <v>28444.446496269742</v>
      </c>
      <c r="D13" s="25">
        <f>'Usage and Cost'!AE129</f>
        <v>15237.503897499999</v>
      </c>
      <c r="E13" s="25">
        <f>'Usage and Cost'!AE240</f>
        <v>16337.564481184389</v>
      </c>
      <c r="F13" s="25">
        <f>'Usage and Cost'!AE352</f>
        <v>32735.206350000015</v>
      </c>
      <c r="G13" s="24">
        <f t="shared" si="0"/>
        <v>92754.72122495415</v>
      </c>
      <c r="H13" s="34">
        <f>SUM(G11:G13)</f>
        <v>306893.088443581</v>
      </c>
    </row>
    <row r="14" spans="2:8" s="12" customFormat="1" ht="15.75">
      <c r="B14" s="9">
        <v>38078</v>
      </c>
      <c r="C14" s="18">
        <f>'Usage and Cost'!AE21</f>
        <v>35473.35301966863</v>
      </c>
      <c r="D14" s="19">
        <f>'Usage and Cost'!AE130</f>
        <v>11486.22977</v>
      </c>
      <c r="E14" s="19">
        <f>'Usage and Cost'!AE241</f>
        <v>20729.10050521556</v>
      </c>
      <c r="F14" s="19">
        <f>'Usage and Cost'!AE353</f>
        <v>34666.49340000003</v>
      </c>
      <c r="G14" s="18">
        <f t="shared" si="0"/>
        <v>102355.17669488423</v>
      </c>
      <c r="H14" s="20"/>
    </row>
    <row r="15" spans="2:8" s="12" customFormat="1" ht="15.75">
      <c r="B15" s="46">
        <v>38108</v>
      </c>
      <c r="C15" s="47">
        <f>'Usage and Cost'!AE22</f>
        <v>19898.250104447245</v>
      </c>
      <c r="D15" s="48">
        <f>'Usage and Cost'!AE131</f>
        <v>4103.67925</v>
      </c>
      <c r="E15" s="48">
        <f>'Usage and Cost'!AE242</f>
        <v>10565.863860962561</v>
      </c>
      <c r="F15" s="48">
        <f>'Usage and Cost'!AE354</f>
        <v>11099.677049999975</v>
      </c>
      <c r="G15" s="47">
        <f t="shared" si="0"/>
        <v>45667.470265409785</v>
      </c>
      <c r="H15" s="23"/>
    </row>
    <row r="16" spans="2:9" s="43" customFormat="1" ht="16.5" thickBot="1">
      <c r="B16" s="14">
        <v>38139</v>
      </c>
      <c r="C16" s="24">
        <f>'Usage and Cost'!AE23</f>
        <v>26370.259148977813</v>
      </c>
      <c r="D16" s="25">
        <f>'Usage and Cost'!AE132</f>
        <v>3613.9178</v>
      </c>
      <c r="E16" s="25">
        <f>'Usage and Cost'!AE243</f>
        <v>10560.21480481284</v>
      </c>
      <c r="F16" s="25">
        <f>'Usage and Cost'!AE355</f>
        <v>9353.10914999999</v>
      </c>
      <c r="G16" s="24">
        <f t="shared" si="0"/>
        <v>49897.50090379064</v>
      </c>
      <c r="H16" s="34">
        <f>SUM(G14:G16)</f>
        <v>197920.14786408466</v>
      </c>
      <c r="I16" s="181"/>
    </row>
    <row r="17" spans="2:9" s="43" customFormat="1" ht="15.75">
      <c r="B17" s="9">
        <v>38169</v>
      </c>
      <c r="C17" s="18">
        <f>'Usage and Cost'!AE24</f>
        <v>27528.550982366054</v>
      </c>
      <c r="D17" s="19">
        <f>'Usage and Cost'!AE133</f>
        <v>2256.039417475728</v>
      </c>
      <c r="E17" s="19">
        <f>'Usage and Cost'!AE244</f>
        <v>11877.312834224593</v>
      </c>
      <c r="F17" s="19">
        <f>'Usage and Cost'!AE356</f>
        <v>5756.680059000026</v>
      </c>
      <c r="G17" s="18">
        <f aca="true" t="shared" si="1" ref="G17:G28">SUM(C17:F17)</f>
        <v>47418.583293066404</v>
      </c>
      <c r="H17" s="20"/>
      <c r="I17" s="12"/>
    </row>
    <row r="18" spans="2:9" s="43" customFormat="1" ht="15.75">
      <c r="B18" s="46">
        <v>38200</v>
      </c>
      <c r="C18" s="47">
        <f>'Usage and Cost'!AE25</f>
        <v>28707.04848658076</v>
      </c>
      <c r="D18" s="48">
        <f>'Usage and Cost'!AE134</f>
        <v>3541.4109223300966</v>
      </c>
      <c r="E18" s="48">
        <f>'Usage and Cost'!AE245</f>
        <v>24478.714494652406</v>
      </c>
      <c r="F18" s="48">
        <f>'Usage and Cost'!AE357</f>
        <v>6461.4814679999745</v>
      </c>
      <c r="G18" s="47">
        <f t="shared" si="1"/>
        <v>63188.65537156324</v>
      </c>
      <c r="H18" s="23"/>
      <c r="I18" s="12"/>
    </row>
    <row r="19" spans="2:9" s="43" customFormat="1" ht="16.5" thickBot="1">
      <c r="B19" s="14">
        <v>38231</v>
      </c>
      <c r="C19" s="24">
        <f>'Usage and Cost'!AE26</f>
        <v>37127.76361912606</v>
      </c>
      <c r="D19" s="25">
        <f>'Usage and Cost'!AE135</f>
        <v>5892.559805825243</v>
      </c>
      <c r="E19" s="25">
        <f>'Usage and Cost'!AE246</f>
        <v>36728.65671657753</v>
      </c>
      <c r="F19" s="25">
        <f>'Usage and Cost'!AE358</f>
        <v>6564.756861000006</v>
      </c>
      <c r="G19" s="24">
        <f t="shared" si="1"/>
        <v>86313.73700252883</v>
      </c>
      <c r="H19" s="34">
        <f>SUM(G17:G19)</f>
        <v>196920.97566715846</v>
      </c>
      <c r="I19" s="181"/>
    </row>
    <row r="20" spans="2:9" s="43" customFormat="1" ht="15.75">
      <c r="B20" s="9">
        <v>38261</v>
      </c>
      <c r="C20" s="18">
        <f>'Usage and Cost'!AE27</f>
        <v>36867.40507034202</v>
      </c>
      <c r="D20" s="19">
        <f>'Usage and Cost'!AE136</f>
        <v>2257.03941747573</v>
      </c>
      <c r="E20" s="19">
        <f>'Usage and Cost'!AE247</f>
        <v>41630.44447593584</v>
      </c>
      <c r="F20" s="19">
        <f>'Usage and Cost'!AE359</f>
        <v>28091.913915000016</v>
      </c>
      <c r="G20" s="18">
        <f t="shared" si="1"/>
        <v>108846.8028787536</v>
      </c>
      <c r="H20" s="20"/>
      <c r="I20" s="12"/>
    </row>
    <row r="21" spans="2:9" s="43" customFormat="1" ht="15.75">
      <c r="B21" s="46">
        <v>38292</v>
      </c>
      <c r="C21" s="47">
        <f>'Usage and Cost'!AE28</f>
        <v>35735.30179745179</v>
      </c>
      <c r="D21" s="48">
        <f>'Usage and Cost'!AE137</f>
        <v>9604.279466019425</v>
      </c>
      <c r="E21" s="48">
        <f>'Usage and Cost'!AE248</f>
        <v>37611.8851778075</v>
      </c>
      <c r="F21" s="48">
        <f>'Usage and Cost'!AE360</f>
        <v>39194.410281</v>
      </c>
      <c r="G21" s="47">
        <f t="shared" si="1"/>
        <v>122145.87672227871</v>
      </c>
      <c r="H21" s="23"/>
      <c r="I21" s="12"/>
    </row>
    <row r="22" spans="2:9" s="43" customFormat="1" ht="16.5" thickBot="1">
      <c r="B22" s="14">
        <v>38322</v>
      </c>
      <c r="C22" s="24">
        <f>'Usage and Cost'!AE29</f>
        <v>36078.691373558766</v>
      </c>
      <c r="D22" s="25">
        <f>'Usage and Cost'!AE138</f>
        <v>10761.000485436887</v>
      </c>
      <c r="E22" s="25">
        <f>'Usage and Cost'!AE249</f>
        <v>30210.060311497342</v>
      </c>
      <c r="F22" s="25">
        <f>'Usage and Cost'!AE361</f>
        <v>56676.1929864</v>
      </c>
      <c r="G22" s="24">
        <f t="shared" si="1"/>
        <v>133725.945156893</v>
      </c>
      <c r="H22" s="34">
        <f>SUM(G20:G22)</f>
        <v>364718.6247579253</v>
      </c>
      <c r="I22" s="181"/>
    </row>
    <row r="23" spans="2:9" s="43" customFormat="1" ht="15.75">
      <c r="B23" s="9">
        <v>38353</v>
      </c>
      <c r="C23" s="18">
        <f>'Usage and Cost'!AE30</f>
        <v>31084.601327972097</v>
      </c>
      <c r="D23" s="19">
        <f>'Usage and Cost'!AE139</f>
        <v>2258.03941747573</v>
      </c>
      <c r="E23" s="19">
        <f>'Usage and Cost'!AE250</f>
        <v>30164.91333957215</v>
      </c>
      <c r="F23" s="19">
        <f>'Usage and Cost'!AE362</f>
        <v>55915.80412859999</v>
      </c>
      <c r="G23" s="18">
        <f t="shared" si="1"/>
        <v>119423.35821361997</v>
      </c>
      <c r="H23" s="20"/>
      <c r="I23" s="12"/>
    </row>
    <row r="24" spans="2:9" s="43" customFormat="1" ht="15.75">
      <c r="B24" s="46">
        <v>38384</v>
      </c>
      <c r="C24" s="47">
        <f>'Usage and Cost'!AE31</f>
        <v>31401.453943222557</v>
      </c>
      <c r="D24" s="48">
        <f>'Usage and Cost'!AE140</f>
        <v>10727.765776699029</v>
      </c>
      <c r="E24" s="48">
        <f>'Usage and Cost'!AE251</f>
        <v>30743.292223262022</v>
      </c>
      <c r="F24" s="48">
        <f>'Usage and Cost'!AE363</f>
        <v>45922.52800199999</v>
      </c>
      <c r="G24" s="47">
        <f t="shared" si="1"/>
        <v>118795.0399451836</v>
      </c>
      <c r="H24" s="23"/>
      <c r="I24" s="12"/>
    </row>
    <row r="25" spans="2:9" s="43" customFormat="1" ht="16.5" thickBot="1">
      <c r="B25" s="14">
        <v>38412</v>
      </c>
      <c r="C25" s="24">
        <f>'Usage and Cost'!AE32</f>
        <v>24996.533511093887</v>
      </c>
      <c r="D25" s="25">
        <f>'Usage and Cost'!AE141</f>
        <v>7938.91118446602</v>
      </c>
      <c r="E25" s="25">
        <f>'Usage and Cost'!AE252</f>
        <v>21418.89449598933</v>
      </c>
      <c r="F25" s="25">
        <f>'Usage and Cost'!AE364</f>
        <v>33701.79298199998</v>
      </c>
      <c r="G25" s="24">
        <f t="shared" si="1"/>
        <v>88056.13217354921</v>
      </c>
      <c r="H25" s="34">
        <f>SUM(G23:G25)</f>
        <v>326274.5303323528</v>
      </c>
      <c r="I25" s="181"/>
    </row>
    <row r="26" spans="2:9" s="10" customFormat="1" ht="15.75">
      <c r="B26" s="9">
        <v>38443</v>
      </c>
      <c r="C26" s="18">
        <f>'Usage and Cost'!AE33</f>
        <v>35182.532820947585</v>
      </c>
      <c r="D26" s="19">
        <f>'Usage and Cost'!AE142</f>
        <v>2259.03941747573</v>
      </c>
      <c r="E26" s="19">
        <f>'Usage and Cost'!AE253</f>
        <v>38908.78897326203</v>
      </c>
      <c r="F26" s="19">
        <f>'Usage and Cost'!AE365</f>
        <v>28288.730184000007</v>
      </c>
      <c r="G26" s="18">
        <f t="shared" si="1"/>
        <v>104639.09139568536</v>
      </c>
      <c r="H26" s="20"/>
      <c r="I26" s="12"/>
    </row>
    <row r="27" spans="2:9" s="10" customFormat="1" ht="15.75">
      <c r="B27" s="46">
        <v>38473</v>
      </c>
      <c r="C27" s="47">
        <f>'Usage and Cost'!AE34</f>
        <v>21439.653788586376</v>
      </c>
      <c r="D27" s="48">
        <f>'Usage and Cost'!AE143</f>
        <v>4352.368446601939</v>
      </c>
      <c r="E27" s="48">
        <f>'Usage and Cost'!AE254</f>
        <v>21163.04603475935</v>
      </c>
      <c r="F27" s="48">
        <f>'Usage and Cost'!AE366</f>
        <v>14329.097133000025</v>
      </c>
      <c r="G27" s="47">
        <f t="shared" si="1"/>
        <v>61284.165402947685</v>
      </c>
      <c r="H27" s="23"/>
      <c r="I27" s="12"/>
    </row>
    <row r="28" spans="2:9" s="10" customFormat="1" ht="16.5" thickBot="1">
      <c r="B28" s="14">
        <v>38504</v>
      </c>
      <c r="C28" s="24">
        <f>'Usage and Cost'!AE35</f>
        <v>21615.882226140875</v>
      </c>
      <c r="D28" s="25">
        <f>'Usage and Cost'!AE144</f>
        <v>2149.6577184466037</v>
      </c>
      <c r="E28" s="25">
        <f>'Usage and Cost'!AE255</f>
        <v>21913.064569518738</v>
      </c>
      <c r="F28" s="25">
        <f>'Usage and Cost'!AE367</f>
        <v>4033.446767999991</v>
      </c>
      <c r="G28" s="24">
        <f t="shared" si="1"/>
        <v>49712.051282106215</v>
      </c>
      <c r="H28" s="34">
        <f>SUM(G26:G28)</f>
        <v>215635.30808073928</v>
      </c>
      <c r="I28" s="181"/>
    </row>
    <row r="29" spans="2:11" s="43" customFormat="1" ht="15.75">
      <c r="B29" s="9">
        <v>38534</v>
      </c>
      <c r="C29" s="19">
        <f>'Usage and Cost'!AE36</f>
        <v>26977.486405387073</v>
      </c>
      <c r="D29" s="19">
        <f>'Usage and Cost'!AE145</f>
        <v>1705.2188932038837</v>
      </c>
      <c r="E29" s="19">
        <f>'Usage and Cost'!AE256</f>
        <v>14229.132401069503</v>
      </c>
      <c r="F29" s="19">
        <f>'Usage and Cost'!AE368</f>
        <v>2181.7376831250194</v>
      </c>
      <c r="G29" s="18">
        <f aca="true" t="shared" si="2" ref="G29:G40">SUM(C29:F29)</f>
        <v>45093.575382785486</v>
      </c>
      <c r="H29" s="20"/>
      <c r="I29" s="12"/>
      <c r="J29" s="10"/>
      <c r="K29" s="10"/>
    </row>
    <row r="30" spans="2:11" s="43" customFormat="1" ht="15.75">
      <c r="B30" s="46">
        <v>38565</v>
      </c>
      <c r="C30" s="48">
        <f>'Usage and Cost'!AE37</f>
        <v>30398.093819881797</v>
      </c>
      <c r="D30" s="48">
        <f>'Usage and Cost'!AE146</f>
        <v>2816.1554077669907</v>
      </c>
      <c r="E30" s="48">
        <f>'Usage and Cost'!AE257</f>
        <v>13834.044737967924</v>
      </c>
      <c r="F30" s="48">
        <f>'Usage and Cost'!AE369</f>
        <v>2203.3095459374617</v>
      </c>
      <c r="G30" s="47">
        <f t="shared" si="2"/>
        <v>49251.603511554174</v>
      </c>
      <c r="H30" s="23"/>
      <c r="I30" s="12"/>
      <c r="J30" s="10"/>
      <c r="K30" s="10"/>
    </row>
    <row r="31" spans="2:11" s="43" customFormat="1" ht="16.5" thickBot="1">
      <c r="B31" s="14">
        <v>38596</v>
      </c>
      <c r="C31" s="25">
        <f>'Usage and Cost'!AE38</f>
        <v>41144.23768772406</v>
      </c>
      <c r="D31" s="25">
        <f>'Usage and Cost'!AE147</f>
        <v>8587.03965631068</v>
      </c>
      <c r="E31" s="25">
        <f>'Usage and Cost'!AE258</f>
        <v>23829.929141711214</v>
      </c>
      <c r="F31" s="25">
        <f>'Usage and Cost'!AE370</f>
        <v>4274.72085665627</v>
      </c>
      <c r="G31" s="24">
        <f t="shared" si="2"/>
        <v>77835.92734240222</v>
      </c>
      <c r="H31" s="34">
        <f>SUM(G29:G31)</f>
        <v>172181.10623674188</v>
      </c>
      <c r="I31" s="181"/>
      <c r="J31" s="181"/>
      <c r="K31" s="182"/>
    </row>
    <row r="32" spans="2:11" s="43" customFormat="1" ht="15.75">
      <c r="B32" s="9">
        <v>38626</v>
      </c>
      <c r="C32" s="19">
        <f>'Usage and Cost'!AE39</f>
        <v>37330.72818719117</v>
      </c>
      <c r="D32" s="19">
        <f>'Usage and Cost'!AE148</f>
        <v>11268.669120388347</v>
      </c>
      <c r="E32" s="19">
        <f>'Usage and Cost'!AE259</f>
        <v>23765.924160427832</v>
      </c>
      <c r="F32" s="19">
        <f>'Usage and Cost'!AE371</f>
        <v>13072.870654593738</v>
      </c>
      <c r="G32" s="18">
        <f t="shared" si="2"/>
        <v>85438.19212260109</v>
      </c>
      <c r="H32" s="20"/>
      <c r="I32" s="12"/>
      <c r="J32" s="10"/>
      <c r="K32" s="10"/>
    </row>
    <row r="33" spans="2:11" s="43" customFormat="1" ht="15.75">
      <c r="B33" s="46">
        <v>38657</v>
      </c>
      <c r="C33" s="48">
        <f>'Usage and Cost'!AE40</f>
        <v>32039.56318719117</v>
      </c>
      <c r="D33" s="48">
        <f>'Usage and Cost'!AE149</f>
        <v>15198.048456310682</v>
      </c>
      <c r="E33" s="48">
        <f>'Usage and Cost'!AE260</f>
        <v>20385.766411764707</v>
      </c>
      <c r="F33" s="48">
        <f>'Usage and Cost'!AE372</f>
        <v>24830.048368125033</v>
      </c>
      <c r="G33" s="47">
        <f t="shared" si="2"/>
        <v>92453.42642339159</v>
      </c>
      <c r="H33" s="23"/>
      <c r="I33" s="12"/>
      <c r="J33" s="10"/>
      <c r="K33" s="10"/>
    </row>
    <row r="34" spans="2:11" s="43" customFormat="1" ht="16.5" thickBot="1">
      <c r="B34" s="14">
        <v>38687</v>
      </c>
      <c r="C34" s="25">
        <f>'Usage and Cost'!AE41</f>
        <v>26418.0367474082</v>
      </c>
      <c r="D34" s="25">
        <f>'Usage and Cost'!AE150</f>
        <v>16092.09159223301</v>
      </c>
      <c r="E34" s="25">
        <f>'Usage and Cost'!AE261</f>
        <v>14262.99180748663</v>
      </c>
      <c r="F34" s="25">
        <f>'Usage and Cost'!AE373</f>
        <v>34632.135975937425</v>
      </c>
      <c r="G34" s="24">
        <f t="shared" si="2"/>
        <v>91405.25612306526</v>
      </c>
      <c r="H34" s="34">
        <f>SUM(G32:G34)</f>
        <v>269296.87466905796</v>
      </c>
      <c r="I34" s="181"/>
      <c r="J34" s="181"/>
      <c r="K34" s="182"/>
    </row>
    <row r="35" spans="2:11" s="43" customFormat="1" ht="15.75">
      <c r="B35" s="9">
        <v>38718</v>
      </c>
      <c r="C35" s="19">
        <f>'Usage and Cost'!AE42</f>
        <v>35597.79666214514</v>
      </c>
      <c r="D35" s="19">
        <f>'Usage and Cost'!AE151</f>
        <v>19299.607029126215</v>
      </c>
      <c r="E35" s="19">
        <f>'Usage and Cost'!AE262</f>
        <v>17919.2550775401</v>
      </c>
      <c r="F35" s="19">
        <f>'Usage and Cost'!AE374</f>
        <v>46782.696272812485</v>
      </c>
      <c r="G35" s="18">
        <f t="shared" si="2"/>
        <v>119599.35504162393</v>
      </c>
      <c r="H35" s="20"/>
      <c r="I35" s="12"/>
      <c r="J35" s="10"/>
      <c r="K35" s="10"/>
    </row>
    <row r="36" spans="2:11" s="43" customFormat="1" ht="15.75">
      <c r="B36" s="46">
        <v>38749</v>
      </c>
      <c r="C36" s="48">
        <f>'Usage and Cost'!AE43</f>
        <v>33164.24468559248</v>
      </c>
      <c r="D36" s="48">
        <f>'Usage and Cost'!AE152</f>
        <v>19046.00545631068</v>
      </c>
      <c r="E36" s="48">
        <f>'Usage and Cost'!AE263</f>
        <v>18719.210368983957</v>
      </c>
      <c r="F36" s="48">
        <f>'Usage and Cost'!AE375</f>
        <v>40110.55485937498</v>
      </c>
      <c r="G36" s="47">
        <f t="shared" si="2"/>
        <v>111040.01537026209</v>
      </c>
      <c r="H36" s="23"/>
      <c r="I36" s="12"/>
      <c r="J36" s="10"/>
      <c r="K36" s="10"/>
    </row>
    <row r="37" spans="2:11" s="43" customFormat="1" ht="16.5" thickBot="1">
      <c r="B37" s="14">
        <v>38777</v>
      </c>
      <c r="C37" s="25">
        <f>'Usage and Cost'!AE44</f>
        <v>29455.127719697703</v>
      </c>
      <c r="D37" s="25">
        <f>'Usage and Cost'!AE153</f>
        <v>15896.22324271845</v>
      </c>
      <c r="E37" s="25">
        <f>'Usage and Cost'!AE264</f>
        <v>15653.142762032092</v>
      </c>
      <c r="F37" s="25">
        <f>'Usage and Cost'!AE376</f>
        <v>38050.73991468755</v>
      </c>
      <c r="G37" s="24">
        <f t="shared" si="2"/>
        <v>99055.23363913578</v>
      </c>
      <c r="H37" s="34">
        <f>SUM(G35:G37)</f>
        <v>329694.6040510218</v>
      </c>
      <c r="I37" s="181"/>
      <c r="J37" s="181"/>
      <c r="K37" s="182"/>
    </row>
    <row r="38" spans="2:11" s="43" customFormat="1" ht="15.75">
      <c r="B38" s="9">
        <v>38808</v>
      </c>
      <c r="C38" s="19">
        <f>'Usage and Cost'!AE45</f>
        <v>36705.44005425831</v>
      </c>
      <c r="D38" s="19">
        <f>'Usage and Cost'!AE154</f>
        <v>12465.61649514563</v>
      </c>
      <c r="E38" s="19">
        <f>'Usage and Cost'!AE265</f>
        <v>21117.684719251327</v>
      </c>
      <c r="F38" s="19">
        <f>'Usage and Cost'!AE377</f>
        <v>33563.91163124998</v>
      </c>
      <c r="G38" s="18">
        <f t="shared" si="2"/>
        <v>103852.65289990525</v>
      </c>
      <c r="H38" s="20"/>
      <c r="I38" s="12"/>
      <c r="J38" s="10"/>
      <c r="K38" s="10"/>
    </row>
    <row r="39" spans="2:11" s="43" customFormat="1" ht="15.75">
      <c r="B39" s="46">
        <v>38838</v>
      </c>
      <c r="C39" s="48">
        <f>'Usage and Cost'!AE46</f>
        <v>26887.19215143882</v>
      </c>
      <c r="D39" s="48">
        <f>'Usage and Cost'!AE155</f>
        <v>4960.7426213592225</v>
      </c>
      <c r="E39" s="48">
        <f>'Usage and Cost'!AE266</f>
        <v>15007.061745989318</v>
      </c>
      <c r="F39" s="48">
        <f>'Usage and Cost'!AE378</f>
        <v>20201.989933125024</v>
      </c>
      <c r="G39" s="47">
        <f t="shared" si="2"/>
        <v>67056.98645191238</v>
      </c>
      <c r="H39" s="23"/>
      <c r="I39" s="12"/>
      <c r="J39" s="10"/>
      <c r="K39" s="10"/>
    </row>
    <row r="40" spans="2:11" s="10" customFormat="1" ht="16.5" thickBot="1">
      <c r="B40" s="14">
        <v>38869</v>
      </c>
      <c r="C40" s="25">
        <f>'Usage and Cost'!AE47</f>
        <v>20570.54169896328</v>
      </c>
      <c r="D40" s="25">
        <f>'Usage and Cost'!AE156</f>
        <v>1824.1438543689342</v>
      </c>
      <c r="E40" s="25">
        <f>'Usage and Cost'!AE267</f>
        <v>10350.282612299461</v>
      </c>
      <c r="F40" s="25">
        <f>'Usage and Cost'!AE379</f>
        <v>7333.122359062458</v>
      </c>
      <c r="G40" s="24">
        <f t="shared" si="2"/>
        <v>40078.09052469413</v>
      </c>
      <c r="H40" s="34">
        <f>SUM(G38:G40)</f>
        <v>210987.72987651176</v>
      </c>
      <c r="I40" s="181"/>
      <c r="J40" s="181"/>
      <c r="K40" s="182"/>
    </row>
    <row r="41" spans="2:9" s="10" customFormat="1" ht="15.75">
      <c r="B41" s="9">
        <v>38899</v>
      </c>
      <c r="C41" s="19">
        <f>'Usage and Cost'!AE48</f>
        <v>39649.997201821534</v>
      </c>
      <c r="D41" s="19">
        <f>'Usage and Cost'!AE157</f>
        <v>4908.362330097085</v>
      </c>
      <c r="E41" s="19">
        <f>'Usage and Cost'!AE268</f>
        <v>13959.407387700561</v>
      </c>
      <c r="F41" s="19">
        <f>'Usage and Cost'!AE380</f>
        <v>4217.572445625027</v>
      </c>
      <c r="G41" s="18">
        <f aca="true" t="shared" si="3" ref="G41:G46">SUM(C41:F41)</f>
        <v>62735.33936524421</v>
      </c>
      <c r="H41" s="20"/>
      <c r="I41" s="12"/>
    </row>
    <row r="42" spans="2:9" s="10" customFormat="1" ht="15.75">
      <c r="B42" s="46">
        <v>38930</v>
      </c>
      <c r="C42" s="48">
        <f>'Usage and Cost'!AE49</f>
        <v>40122.85745906405</v>
      </c>
      <c r="D42" s="48">
        <f>'Usage and Cost'!AE158</f>
        <v>5479.669514563107</v>
      </c>
      <c r="E42" s="48">
        <f>'Usage and Cost'!AE269</f>
        <v>13010.054237967886</v>
      </c>
      <c r="F42" s="48">
        <f>'Usage and Cost'!AE381</f>
        <v>2510.143525312513</v>
      </c>
      <c r="G42" s="47">
        <f t="shared" si="3"/>
        <v>61122.72473690756</v>
      </c>
      <c r="H42" s="23"/>
      <c r="I42" s="12"/>
    </row>
    <row r="43" spans="2:11" s="10" customFormat="1" ht="16.5" thickBot="1">
      <c r="B43" s="14">
        <v>38961</v>
      </c>
      <c r="C43" s="25">
        <f>'Usage and Cost'!AE50</f>
        <v>40067.21404272842</v>
      </c>
      <c r="D43" s="25">
        <f>'Usage and Cost'!AE159</f>
        <v>10147.415533980582</v>
      </c>
      <c r="E43" s="25">
        <f>'Usage and Cost'!AE270</f>
        <v>20295.54021925134</v>
      </c>
      <c r="F43" s="25">
        <f>'Usage and Cost'!AE382</f>
        <v>4970.47550999995</v>
      </c>
      <c r="G43" s="24">
        <f t="shared" si="3"/>
        <v>75480.64530596028</v>
      </c>
      <c r="H43" s="34">
        <f>SUM(G41:G43)</f>
        <v>199338.70940811204</v>
      </c>
      <c r="I43" s="181"/>
      <c r="J43" s="181"/>
      <c r="K43" s="182"/>
    </row>
    <row r="44" spans="2:9" s="10" customFormat="1" ht="15.75">
      <c r="B44" s="9">
        <v>38991</v>
      </c>
      <c r="C44" s="19">
        <f>'Usage and Cost'!AE51</f>
        <v>38026.21284032555</v>
      </c>
      <c r="D44" s="19">
        <f>'Usage and Cost'!AE160</f>
        <v>18021.976310679605</v>
      </c>
      <c r="E44" s="19">
        <f>'Usage and Cost'!AE271</f>
        <v>21709.78789037434</v>
      </c>
      <c r="F44" s="19">
        <f>'Usage and Cost'!AE383</f>
        <v>23620.795347187504</v>
      </c>
      <c r="G44" s="18">
        <f t="shared" si="3"/>
        <v>101378.772388567</v>
      </c>
      <c r="H44" s="20"/>
      <c r="I44" s="12"/>
    </row>
    <row r="45" spans="2:9" s="10" customFormat="1" ht="15.75">
      <c r="B45" s="46">
        <v>39022</v>
      </c>
      <c r="C45" s="48">
        <f>'Usage and Cost'!AE52</f>
        <v>43338.715773665346</v>
      </c>
      <c r="D45" s="48">
        <f>'Usage and Cost'!AE161</f>
        <v>23241.541747572814</v>
      </c>
      <c r="E45" s="48">
        <f>'Usage and Cost'!AE272</f>
        <v>23904.08503475937</v>
      </c>
      <c r="F45" s="48">
        <f>'Usage and Cost'!AE384</f>
        <v>47281.42364859377</v>
      </c>
      <c r="G45" s="47">
        <f t="shared" si="3"/>
        <v>137765.76620459132</v>
      </c>
      <c r="H45" s="23"/>
      <c r="I45" s="12"/>
    </row>
    <row r="46" spans="2:11" s="10" customFormat="1" ht="16.5" thickBot="1">
      <c r="B46" s="14">
        <v>39052</v>
      </c>
      <c r="C46" s="25">
        <f>'Usage and Cost'!AE53</f>
        <v>39596.53919581436</v>
      </c>
      <c r="D46" s="25">
        <f>'Usage and Cost'!AE162</f>
        <v>24323.438446601936</v>
      </c>
      <c r="E46" s="25">
        <f>'Usage and Cost'!AE273</f>
        <v>19236.92936497325</v>
      </c>
      <c r="F46" s="25">
        <f>'Usage and Cost'!AE385</f>
        <v>63330.49042031256</v>
      </c>
      <c r="G46" s="24">
        <f t="shared" si="3"/>
        <v>146487.39742770212</v>
      </c>
      <c r="H46" s="34">
        <f>SUM(G44:G46)</f>
        <v>385631.93602086045</v>
      </c>
      <c r="I46" s="181"/>
      <c r="J46" s="181"/>
      <c r="K46" s="182"/>
    </row>
    <row r="47" spans="2:9" s="10" customFormat="1" ht="15.75">
      <c r="B47" s="9">
        <v>39083</v>
      </c>
      <c r="C47" s="19">
        <f>'Usage and Cost'!AE54</f>
        <v>31629.07919581436</v>
      </c>
      <c r="D47" s="19">
        <f>'Usage and Cost'!AE163</f>
        <v>21389.101747572815</v>
      </c>
      <c r="E47" s="19">
        <f>'Usage and Cost'!AE274</f>
        <v>12897.47415106952</v>
      </c>
      <c r="F47" s="19">
        <f>'Usage and Cost'!AE386</f>
        <v>51768.92255390616</v>
      </c>
      <c r="G47" s="18">
        <f aca="true" t="shared" si="4" ref="G47:G76">SUM(C47:F47)</f>
        <v>117684.57764836286</v>
      </c>
      <c r="H47" s="20"/>
      <c r="I47" s="12"/>
    </row>
    <row r="48" spans="2:9" s="10" customFormat="1" ht="15.75">
      <c r="B48" s="46">
        <v>39114</v>
      </c>
      <c r="C48" s="48">
        <f>'Usage and Cost'!AE55</f>
        <v>43668.40050770275</v>
      </c>
      <c r="D48" s="48">
        <f>'Usage and Cost'!AE164</f>
        <v>35081.58757281553</v>
      </c>
      <c r="E48" s="48">
        <f>'Usage and Cost'!AE275</f>
        <v>21025.15672192514</v>
      </c>
      <c r="F48" s="48">
        <f>'Usage and Cost'!AE387</f>
        <v>93515.50268156266</v>
      </c>
      <c r="G48" s="47">
        <f t="shared" si="4"/>
        <v>193290.64748400607</v>
      </c>
      <c r="H48" s="23"/>
      <c r="I48" s="12"/>
    </row>
    <row r="49" spans="2:11" s="10" customFormat="1" ht="16.5" thickBot="1">
      <c r="B49" s="14">
        <v>39142</v>
      </c>
      <c r="C49" s="25">
        <f>'Usage and Cost'!AE56</f>
        <v>29160.20148193005</v>
      </c>
      <c r="D49" s="25">
        <f>'Usage and Cost'!AE165</f>
        <v>23798.370873786404</v>
      </c>
      <c r="E49" s="25">
        <f>'Usage and Cost'!AE276</f>
        <v>14393.292184491944</v>
      </c>
      <c r="F49" s="25">
        <f>'Usage and Cost'!AE388</f>
        <v>68137.72732593733</v>
      </c>
      <c r="G49" s="24">
        <f t="shared" si="4"/>
        <v>135489.59186614573</v>
      </c>
      <c r="H49" s="34">
        <f>SUM(G47:G49)</f>
        <v>446464.81699851464</v>
      </c>
      <c r="I49" s="181"/>
      <c r="J49" s="181"/>
      <c r="K49" s="182"/>
    </row>
    <row r="50" spans="2:9" s="10" customFormat="1" ht="15.75">
      <c r="B50" s="9">
        <v>39173</v>
      </c>
      <c r="C50" s="19">
        <f>'Usage and Cost'!AE57</f>
        <v>35941.21459742274</v>
      </c>
      <c r="D50" s="19">
        <f>'Usage and Cost'!AE166</f>
        <v>17473.98431067961</v>
      </c>
      <c r="E50" s="19">
        <f>'Usage and Cost'!AE277</f>
        <v>20580.822395721978</v>
      </c>
      <c r="F50" s="19">
        <f>'Usage and Cost'!AE389</f>
        <v>58472.49783374992</v>
      </c>
      <c r="G50" s="18">
        <f t="shared" si="4"/>
        <v>132468.51913757424</v>
      </c>
      <c r="H50" s="20"/>
      <c r="I50" s="12"/>
    </row>
    <row r="51" spans="2:9" s="10" customFormat="1" ht="15.75">
      <c r="B51" s="46">
        <v>39203</v>
      </c>
      <c r="C51" s="48">
        <f>'Usage and Cost'!AE58</f>
        <v>24179.97488964248</v>
      </c>
      <c r="D51" s="48">
        <f>'Usage and Cost'!AE167</f>
        <v>6605.010407766985</v>
      </c>
      <c r="E51" s="48">
        <f>'Usage and Cost'!AE278</f>
        <v>12717.47766577538</v>
      </c>
      <c r="F51" s="48">
        <f>'Usage and Cost'!AE390</f>
        <v>30361.045594687508</v>
      </c>
      <c r="G51" s="47">
        <f t="shared" si="4"/>
        <v>73863.50855787235</v>
      </c>
      <c r="H51" s="23"/>
      <c r="I51" s="12"/>
    </row>
    <row r="52" spans="2:11" s="10" customFormat="1" ht="16.5" thickBot="1">
      <c r="B52" s="14">
        <v>39234</v>
      </c>
      <c r="C52" s="25">
        <f>'Usage and Cost'!AE59</f>
        <v>20159.85655169073</v>
      </c>
      <c r="D52" s="25">
        <f>'Usage and Cost'!AE168</f>
        <v>2745.7913009708755</v>
      </c>
      <c r="E52" s="25">
        <f>'Usage and Cost'!AE279</f>
        <v>11054.084540106973</v>
      </c>
      <c r="F52" s="25">
        <f>'Usage and Cost'!AE391</f>
        <v>13729.93259859389</v>
      </c>
      <c r="G52" s="24">
        <f t="shared" si="4"/>
        <v>47689.66499136247</v>
      </c>
      <c r="H52" s="34">
        <f>SUM(G50:G52)</f>
        <v>254021.69268680905</v>
      </c>
      <c r="I52" s="181"/>
      <c r="J52" s="181"/>
      <c r="K52" s="182"/>
    </row>
    <row r="53" spans="2:8" s="10" customFormat="1" ht="15.75">
      <c r="B53" s="9">
        <v>39264</v>
      </c>
      <c r="C53" s="19">
        <f>'Usage and Cost'!AE60</f>
        <v>35528.859</v>
      </c>
      <c r="D53" s="19">
        <f>'Usage and Cost'!AE169</f>
        <v>5514.0022524271835</v>
      </c>
      <c r="E53" s="19">
        <f>'Usage and Cost'!AE280</f>
        <v>12327.532341176417</v>
      </c>
      <c r="F53" s="19">
        <f>'Usage and Cost'!AE392</f>
        <v>7956.562989374906</v>
      </c>
      <c r="G53" s="18">
        <f t="shared" si="4"/>
        <v>61326.956582978506</v>
      </c>
      <c r="H53" s="20"/>
    </row>
    <row r="54" spans="2:8" s="10" customFormat="1" ht="15.75">
      <c r="B54" s="46">
        <v>39295</v>
      </c>
      <c r="C54" s="48">
        <f>'Usage and Cost'!AE61</f>
        <v>31448.843999999997</v>
      </c>
      <c r="D54" s="48">
        <f>'Usage and Cost'!AE170</f>
        <v>5597.858563106796</v>
      </c>
      <c r="E54" s="48">
        <f>'Usage and Cost'!AE281</f>
        <v>13269.119990374396</v>
      </c>
      <c r="F54" s="48">
        <f>'Usage and Cost'!AE393</f>
        <v>4373.167079531338</v>
      </c>
      <c r="G54" s="47">
        <f t="shared" si="4"/>
        <v>54688.989633012534</v>
      </c>
      <c r="H54" s="23"/>
    </row>
    <row r="55" spans="2:11" s="10" customFormat="1" ht="16.5" thickBot="1">
      <c r="B55" s="14">
        <v>39326</v>
      </c>
      <c r="C55" s="25">
        <f>'Usage and Cost'!AE62</f>
        <v>41285.583</v>
      </c>
      <c r="D55" s="25">
        <f>'Usage and Cost'!AE171</f>
        <v>12113.094058252424</v>
      </c>
      <c r="E55" s="25">
        <f>'Usage and Cost'!AE282</f>
        <v>18865.548875935783</v>
      </c>
      <c r="F55" s="25">
        <f>'Usage and Cost'!AE394</f>
        <v>8323.962678281143</v>
      </c>
      <c r="G55" s="24">
        <f t="shared" si="4"/>
        <v>80588.18861246934</v>
      </c>
      <c r="H55" s="34">
        <f>SUM(G53:G55)</f>
        <v>196604.1348284604</v>
      </c>
      <c r="I55" s="182"/>
      <c r="J55" s="182"/>
      <c r="K55" s="182"/>
    </row>
    <row r="56" spans="2:8" s="10" customFormat="1" ht="15.75">
      <c r="B56" s="9">
        <v>39356</v>
      </c>
      <c r="C56" s="19">
        <f>'Usage and Cost'!AE63</f>
        <v>37446.89399999999</v>
      </c>
      <c r="D56" s="19">
        <f>'Usage and Cost'!AE172</f>
        <v>13245.931728155334</v>
      </c>
      <c r="E56" s="19">
        <f>'Usage and Cost'!AE283</f>
        <v>20318.92137112301</v>
      </c>
      <c r="F56" s="19">
        <f>'Usage and Cost'!AE395</f>
        <v>15789.421147500141</v>
      </c>
      <c r="G56" s="18">
        <f t="shared" si="4"/>
        <v>86801.16824677847</v>
      </c>
      <c r="H56" s="20"/>
    </row>
    <row r="57" spans="2:8" s="10" customFormat="1" ht="15.75">
      <c r="B57" s="46">
        <v>39387</v>
      </c>
      <c r="C57" s="48">
        <f>'Usage and Cost'!AE64</f>
        <v>43211.016</v>
      </c>
      <c r="D57" s="48">
        <f>'Usage and Cost'!AE173</f>
        <v>22071.480776699023</v>
      </c>
      <c r="E57" s="48">
        <f>'Usage and Cost'!AE284</f>
        <v>27241.116362566838</v>
      </c>
      <c r="F57" s="48">
        <f>'Usage and Cost'!AE396</f>
        <v>54778.49392640609</v>
      </c>
      <c r="G57" s="47">
        <f t="shared" si="4"/>
        <v>147302.10706567197</v>
      </c>
      <c r="H57" s="23"/>
    </row>
    <row r="58" spans="2:11" s="10" customFormat="1" ht="16.5" thickBot="1">
      <c r="B58" s="14">
        <v>39417</v>
      </c>
      <c r="C58" s="25">
        <f>'Usage and Cost'!AE65</f>
        <v>31074.813</v>
      </c>
      <c r="D58" s="25">
        <f>'Usage and Cost'!AE174</f>
        <v>23969.299029126207</v>
      </c>
      <c r="E58" s="25">
        <f>'Usage and Cost'!AE285</f>
        <v>17649.87439572193</v>
      </c>
      <c r="F58" s="25">
        <f>'Usage and Cost'!AE397</f>
        <v>67023.57036375016</v>
      </c>
      <c r="G58" s="24">
        <f t="shared" si="4"/>
        <v>139717.5567885983</v>
      </c>
      <c r="H58" s="34">
        <f>SUM(G56:G58)</f>
        <v>373820.8321010487</v>
      </c>
      <c r="I58" s="182"/>
      <c r="J58" s="182"/>
      <c r="K58" s="182"/>
    </row>
    <row r="59" spans="2:8" s="10" customFormat="1" ht="15.75">
      <c r="B59" s="9">
        <v>39448</v>
      </c>
      <c r="C59" s="19">
        <f>'Usage and Cost'!AE66</f>
        <v>27671.129999999997</v>
      </c>
      <c r="D59" s="19">
        <f>'Usage and Cost'!AE175</f>
        <v>17652.530873786407</v>
      </c>
      <c r="E59" s="19">
        <f>'Usage and Cost'!AE286</f>
        <v>10278.497390374345</v>
      </c>
      <c r="F59" s="19">
        <f>'Usage and Cost'!AE398</f>
        <v>72307.01102624997</v>
      </c>
      <c r="G59" s="18">
        <f t="shared" si="4"/>
        <v>127909.1692904107</v>
      </c>
      <c r="H59" s="20"/>
    </row>
    <row r="60" spans="2:8" s="10" customFormat="1" ht="15.75">
      <c r="B60" s="46">
        <v>39479</v>
      </c>
      <c r="C60" s="48">
        <f>'Usage and Cost'!AE67</f>
        <v>37934.397</v>
      </c>
      <c r="D60" s="48">
        <f>'Usage and Cost'!AE176</f>
        <v>31185.662135922317</v>
      </c>
      <c r="E60" s="48">
        <f>'Usage and Cost'!AE287</f>
        <v>26703.62197379677</v>
      </c>
      <c r="F60" s="48">
        <f>'Usage and Cost'!AE399</f>
        <v>97156.98758390623</v>
      </c>
      <c r="G60" s="47">
        <f t="shared" si="4"/>
        <v>192980.6686936253</v>
      </c>
      <c r="H60" s="23"/>
    </row>
    <row r="61" spans="2:11" s="10" customFormat="1" ht="16.5" thickBot="1">
      <c r="B61" s="14">
        <v>39508</v>
      </c>
      <c r="C61" s="25">
        <f>'Usage and Cost'!AE68</f>
        <v>36781.164</v>
      </c>
      <c r="D61" s="25">
        <f>'Usage and Cost'!AE177</f>
        <v>27991.725203883478</v>
      </c>
      <c r="E61" s="25">
        <f>'Usage and Cost'!AE288</f>
        <v>22270.70434812833</v>
      </c>
      <c r="F61" s="25">
        <f>'Usage and Cost'!AE400</f>
        <v>94617.9276229689</v>
      </c>
      <c r="G61" s="24">
        <f t="shared" si="4"/>
        <v>181661.5211749807</v>
      </c>
      <c r="H61" s="34">
        <f>SUM(G59:G61)</f>
        <v>502551.35915901675</v>
      </c>
      <c r="I61" s="182"/>
      <c r="J61" s="182"/>
      <c r="K61" s="182"/>
    </row>
    <row r="62" spans="2:8" s="10" customFormat="1" ht="15.75">
      <c r="B62" s="9">
        <v>39539</v>
      </c>
      <c r="C62" s="19">
        <f>'Usage and Cost'!AE69</f>
        <v>32686.902</v>
      </c>
      <c r="D62" s="19">
        <f>'Usage and Cost'!AE178</f>
        <v>17029.95052427184</v>
      </c>
      <c r="E62" s="19">
        <f>'Usage and Cost'!AE289</f>
        <v>17403.50002780751</v>
      </c>
      <c r="F62" s="19">
        <f>'Usage and Cost'!AE401</f>
        <v>63545.65295203124</v>
      </c>
      <c r="G62" s="18">
        <f t="shared" si="4"/>
        <v>130666.0055041106</v>
      </c>
      <c r="H62" s="20"/>
    </row>
    <row r="63" spans="2:8" s="10" customFormat="1" ht="15.75">
      <c r="B63" s="46">
        <v>39569</v>
      </c>
      <c r="C63" s="48">
        <f>'Usage and Cost'!AE70</f>
        <v>23347.053</v>
      </c>
      <c r="D63" s="48">
        <f>'Usage and Cost'!AE179</f>
        <v>9362.029514563115</v>
      </c>
      <c r="E63" s="48">
        <f>'Usage and Cost'!AE290</f>
        <v>11679.567311229983</v>
      </c>
      <c r="F63" s="48">
        <f>'Usage and Cost'!AE402</f>
        <v>24945.975898593635</v>
      </c>
      <c r="G63" s="47">
        <f t="shared" si="4"/>
        <v>69334.62572438674</v>
      </c>
      <c r="H63" s="23"/>
    </row>
    <row r="64" spans="2:11" s="10" customFormat="1" ht="16.5" thickBot="1">
      <c r="B64" s="14">
        <v>39600</v>
      </c>
      <c r="C64" s="25">
        <f>'Usage and Cost'!AE71</f>
        <v>33050.286</v>
      </c>
      <c r="D64" s="25">
        <f>'Usage and Cost'!AE180</f>
        <v>5506.027572815528</v>
      </c>
      <c r="E64" s="25">
        <f>'Usage and Cost'!AE291</f>
        <v>13780.762546524053</v>
      </c>
      <c r="F64" s="25">
        <f>'Usage and Cost'!AE403</f>
        <v>28750.942532812467</v>
      </c>
      <c r="G64" s="24">
        <f t="shared" si="4"/>
        <v>81088.01865215205</v>
      </c>
      <c r="H64" s="34">
        <f>SUM(G62:G64)</f>
        <v>281088.6498806494</v>
      </c>
      <c r="I64" s="182"/>
      <c r="J64" s="182"/>
      <c r="K64" s="182"/>
    </row>
    <row r="65" spans="2:8" s="10" customFormat="1" ht="15.75">
      <c r="B65" s="9">
        <v>39630</v>
      </c>
      <c r="C65" s="19">
        <f>'Usage and Cost'!AE72</f>
        <v>26884.144299999996</v>
      </c>
      <c r="D65" s="19">
        <f>'Usage and Cost'!AE181</f>
        <v>6472.193684200002</v>
      </c>
      <c r="E65" s="19">
        <f>'Usage and Cost'!AE292</f>
        <v>10696.120062032032</v>
      </c>
      <c r="F65" s="19">
        <f>'Usage and Cost'!AE404</f>
        <v>5909.876492799901</v>
      </c>
      <c r="G65" s="18">
        <f t="shared" si="4"/>
        <v>49962.33453903193</v>
      </c>
      <c r="H65" s="20"/>
    </row>
    <row r="66" spans="2:8" s="10" customFormat="1" ht="15.75">
      <c r="B66" s="46">
        <v>39661</v>
      </c>
      <c r="C66" s="48">
        <f>'Usage and Cost'!AE73</f>
        <v>29682.12075</v>
      </c>
      <c r="D66" s="48">
        <f>'Usage and Cost'!AE182</f>
        <v>5795.831225999997</v>
      </c>
      <c r="E66" s="48">
        <f>'Usage and Cost'!AE293</f>
        <v>15110.255213903767</v>
      </c>
      <c r="F66" s="48">
        <f>'Usage and Cost'!AE405</f>
        <v>4685.255391600267</v>
      </c>
      <c r="G66" s="47">
        <f t="shared" si="4"/>
        <v>55273.46258150403</v>
      </c>
      <c r="H66" s="23"/>
    </row>
    <row r="67" spans="2:11" s="10" customFormat="1" ht="16.5" thickBot="1">
      <c r="B67" s="14">
        <v>39692</v>
      </c>
      <c r="C67" s="25">
        <f>'Usage and Cost'!AE74</f>
        <v>26564.381049999996</v>
      </c>
      <c r="D67" s="25">
        <f>'Usage and Cost'!AE183</f>
        <v>8766.292749000006</v>
      </c>
      <c r="E67" s="25">
        <f>'Usage and Cost'!AE294</f>
        <v>18657.262541176493</v>
      </c>
      <c r="F67" s="25">
        <f>'Usage and Cost'!AE406</f>
        <v>5431.196605199841</v>
      </c>
      <c r="G67" s="24">
        <f t="shared" si="4"/>
        <v>59419.13294537634</v>
      </c>
      <c r="H67" s="34">
        <f>SUM(G65:G67)</f>
        <v>164654.93006591228</v>
      </c>
      <c r="I67" s="182"/>
      <c r="J67" s="182"/>
      <c r="K67" s="182"/>
    </row>
    <row r="68" spans="2:8" s="10" customFormat="1" ht="15.75">
      <c r="B68" s="9">
        <v>39722</v>
      </c>
      <c r="C68" s="19">
        <f>'Usage and Cost'!AE75</f>
        <v>28528.8772</v>
      </c>
      <c r="D68" s="19">
        <f>'Usage and Cost'!AE184</f>
        <v>15134.140097599991</v>
      </c>
      <c r="E68" s="19">
        <f>'Usage and Cost'!AE295</f>
        <v>23714.400759892997</v>
      </c>
      <c r="F68" s="19">
        <f>'Usage and Cost'!AE407</f>
        <v>25683.019525066862</v>
      </c>
      <c r="G68" s="18">
        <f t="shared" si="4"/>
        <v>93060.43758255985</v>
      </c>
      <c r="H68" s="20"/>
    </row>
    <row r="69" spans="2:8" s="10" customFormat="1" ht="15.75">
      <c r="B69" s="46">
        <v>39753</v>
      </c>
      <c r="C69" s="48">
        <f>'Usage and Cost'!AE76</f>
        <v>30839.3222</v>
      </c>
      <c r="D69" s="48">
        <f>'Usage and Cost'!AE185</f>
        <v>23579.877863</v>
      </c>
      <c r="E69" s="48">
        <f>'Usage and Cost'!AE296</f>
        <v>25535.832513903744</v>
      </c>
      <c r="F69" s="48">
        <f>'Usage and Cost'!AE408</f>
        <v>56601.929527066444</v>
      </c>
      <c r="G69" s="47">
        <f t="shared" si="4"/>
        <v>136556.96210397017</v>
      </c>
      <c r="H69" s="23"/>
    </row>
    <row r="70" spans="2:11" s="10" customFormat="1" ht="16.5" thickBot="1">
      <c r="B70" s="14">
        <v>39783</v>
      </c>
      <c r="C70" s="25">
        <f>'Usage and Cost'!AE77</f>
        <v>23756.217599999996</v>
      </c>
      <c r="D70" s="25">
        <f>'Usage and Cost'!AE186</f>
        <v>23249.1108886</v>
      </c>
      <c r="E70" s="25">
        <f>'Usage and Cost'!AE297</f>
        <v>18970.72567379681</v>
      </c>
      <c r="F70" s="25">
        <f>'Usage and Cost'!AE409</f>
        <v>68785.02081386668</v>
      </c>
      <c r="G70" s="24">
        <f t="shared" si="4"/>
        <v>134761.07497626348</v>
      </c>
      <c r="H70" s="34">
        <f>SUM(G68:G70)</f>
        <v>364378.4746627935</v>
      </c>
      <c r="I70" s="182"/>
      <c r="J70" s="182"/>
      <c r="K70" s="182"/>
    </row>
    <row r="71" spans="2:8" s="10" customFormat="1" ht="15.75">
      <c r="B71" s="9">
        <v>39814</v>
      </c>
      <c r="C71" s="19">
        <f>'Usage and Cost'!AE78</f>
        <v>54056.572349999995</v>
      </c>
      <c r="D71" s="19">
        <f>'Usage and Cost'!AE187</f>
        <v>25877.543363</v>
      </c>
      <c r="E71" s="19">
        <f>'Usage and Cost'!AE298</f>
        <v>15880.545397326192</v>
      </c>
      <c r="F71" s="19">
        <f>'Usage and Cost'!AE410</f>
        <v>90423.97190800012</v>
      </c>
      <c r="G71" s="18">
        <f t="shared" si="4"/>
        <v>186238.6330183263</v>
      </c>
      <c r="H71" s="20"/>
    </row>
    <row r="72" spans="2:8" s="10" customFormat="1" ht="15.75">
      <c r="B72" s="46">
        <v>39845</v>
      </c>
      <c r="C72" s="48">
        <f>'Usage and Cost'!AE79</f>
        <v>37099.97684999999</v>
      </c>
      <c r="D72" s="48">
        <f>'Usage and Cost'!AE188</f>
        <v>34856.890185799995</v>
      </c>
      <c r="E72" s="48">
        <f>'Usage and Cost'!AE299</f>
        <v>23798.304905347624</v>
      </c>
      <c r="F72" s="48">
        <f>'Usage and Cost'!AE411</f>
        <v>94266.31267360006</v>
      </c>
      <c r="G72" s="47">
        <f t="shared" si="4"/>
        <v>190021.48461474766</v>
      </c>
      <c r="H72" s="23"/>
    </row>
    <row r="73" spans="2:11" s="10" customFormat="1" ht="16.5" thickBot="1">
      <c r="B73" s="14">
        <v>39873</v>
      </c>
      <c r="C73" s="25">
        <f>'Usage and Cost'!AE80</f>
        <v>30632.350749999998</v>
      </c>
      <c r="D73" s="25">
        <f>'Usage and Cost'!AE189</f>
        <v>22585.293219199997</v>
      </c>
      <c r="E73" s="25">
        <f>'Usage and Cost'!AE300</f>
        <v>17025.246917647095</v>
      </c>
      <c r="F73" s="25">
        <f>'Usage and Cost'!AE412</f>
        <v>70030.27168880006</v>
      </c>
      <c r="G73" s="24">
        <f t="shared" si="4"/>
        <v>140273.16257564715</v>
      </c>
      <c r="H73" s="34">
        <f>SUM(G71:G73)</f>
        <v>516533.28020872106</v>
      </c>
      <c r="I73" s="182"/>
      <c r="J73" s="182"/>
      <c r="K73" s="182"/>
    </row>
    <row r="74" spans="2:8" s="10" customFormat="1" ht="15.75">
      <c r="B74" s="9">
        <v>39904</v>
      </c>
      <c r="C74" s="19">
        <f>'Usage and Cost'!AE81</f>
        <v>34500.76658333333</v>
      </c>
      <c r="D74" s="19">
        <f>'Usage and Cost'!AE190</f>
        <v>21082.4487518</v>
      </c>
      <c r="E74" s="19">
        <f>'Usage and Cost'!AE301</f>
        <v>23425.37736479502</v>
      </c>
      <c r="F74" s="19">
        <f>'Usage and Cost'!AE413</f>
        <v>61613.781012799875</v>
      </c>
      <c r="G74" s="18">
        <f t="shared" si="4"/>
        <v>140622.3737127282</v>
      </c>
      <c r="H74" s="20"/>
    </row>
    <row r="75" spans="2:8" s="10" customFormat="1" ht="15.75">
      <c r="B75" s="46">
        <v>39934</v>
      </c>
      <c r="C75" s="48">
        <f>'Usage and Cost'!AE82</f>
        <v>21830.766050000002</v>
      </c>
      <c r="D75" s="48">
        <f>'Usage and Cost'!AE191</f>
        <v>6976.402135999998</v>
      </c>
      <c r="E75" s="48">
        <f>'Usage and Cost'!AE302</f>
        <v>12408.440016414126</v>
      </c>
      <c r="F75" s="48">
        <f>'Usage and Cost'!AE414</f>
        <v>26119.82466319987</v>
      </c>
      <c r="G75" s="47">
        <f t="shared" si="4"/>
        <v>67335.43286561398</v>
      </c>
      <c r="H75" s="23"/>
    </row>
    <row r="76" spans="2:11" s="10" customFormat="1" ht="16.5" thickBot="1">
      <c r="B76" s="14">
        <v>39965</v>
      </c>
      <c r="C76" s="25">
        <f>'Usage and Cost'!AE83</f>
        <v>24661.332549999996</v>
      </c>
      <c r="D76" s="25">
        <f>'Usage and Cost'!AE192</f>
        <v>5462.519361399999</v>
      </c>
      <c r="E76" s="25">
        <f>'Usage and Cost'!AE303</f>
        <v>11749.568579845047</v>
      </c>
      <c r="F76" s="25">
        <f>'Usage and Cost'!AE415</f>
        <v>21675.781187200173</v>
      </c>
      <c r="G76" s="24">
        <f t="shared" si="4"/>
        <v>63549.20167844521</v>
      </c>
      <c r="H76" s="34">
        <f>SUM(G74:G76)</f>
        <v>271507.00825678743</v>
      </c>
      <c r="I76" s="182"/>
      <c r="J76" s="182"/>
      <c r="K76" s="182"/>
    </row>
    <row r="77" spans="2:8" s="10" customFormat="1" ht="15.75">
      <c r="B77" s="9">
        <v>39995</v>
      </c>
      <c r="C77" s="19">
        <f>'Usage and Cost'!AE84</f>
        <v>28813.623</v>
      </c>
      <c r="D77" s="19">
        <f>'Usage and Cost'!AE193</f>
        <v>5087.2119999999995</v>
      </c>
      <c r="E77" s="19">
        <f>'Usage and Cost'!AE304</f>
        <v>17507.412758823495</v>
      </c>
      <c r="F77" s="19">
        <f>'Usage and Cost'!AE416</f>
        <v>4461.711509062452</v>
      </c>
      <c r="G77" s="18">
        <f aca="true" t="shared" si="5" ref="G77:G88">SUM(C77:F77)</f>
        <v>55869.95926788594</v>
      </c>
      <c r="H77" s="20"/>
    </row>
    <row r="78" spans="2:8" s="10" customFormat="1" ht="15.75">
      <c r="B78" s="46">
        <v>40026</v>
      </c>
      <c r="C78" s="48">
        <f>'Usage and Cost'!AE85</f>
        <v>30594.2625</v>
      </c>
      <c r="D78" s="48">
        <f>'Usage and Cost'!AE194</f>
        <v>5361.304000000001</v>
      </c>
      <c r="E78" s="48">
        <f>'Usage and Cost'!AE305</f>
        <v>12517.0924</v>
      </c>
      <c r="F78" s="48">
        <f>'Usage and Cost'!AE417</f>
        <v>5843.978765625001</v>
      </c>
      <c r="G78" s="47">
        <f t="shared" si="5"/>
        <v>54316.63766562501</v>
      </c>
      <c r="H78" s="23"/>
    </row>
    <row r="79" spans="2:11" s="10" customFormat="1" ht="16.5" thickBot="1">
      <c r="B79" s="14">
        <v>40057</v>
      </c>
      <c r="C79" s="25">
        <f>'Usage and Cost'!AE86</f>
        <v>32440.1055</v>
      </c>
      <c r="D79" s="25">
        <f>'Usage and Cost'!AE195</f>
        <v>6774.56</v>
      </c>
      <c r="E79" s="25">
        <f>'Usage and Cost'!AE306</f>
        <v>14929.972418716576</v>
      </c>
      <c r="F79" s="25">
        <f>'Usage and Cost'!AE418</f>
        <v>8079.964921875</v>
      </c>
      <c r="G79" s="24">
        <f t="shared" si="5"/>
        <v>62224.60284059158</v>
      </c>
      <c r="H79" s="34">
        <f>SUM(G77:G79)</f>
        <v>172411.1997741025</v>
      </c>
      <c r="I79" s="182"/>
      <c r="J79" s="182"/>
      <c r="K79" s="182"/>
    </row>
    <row r="80" spans="2:8" s="10" customFormat="1" ht="15.75">
      <c r="B80" s="9">
        <v>40087</v>
      </c>
      <c r="C80" s="19">
        <f>'Usage and Cost'!AE87</f>
        <v>39188.927</v>
      </c>
      <c r="D80" s="19">
        <f>'Usage and Cost'!AE196</f>
        <v>12737.4</v>
      </c>
      <c r="E80" s="19">
        <f>'Usage and Cost'!AE307</f>
        <v>26002.18947540105</v>
      </c>
      <c r="F80" s="19">
        <f>'Usage and Cost'!AE419</f>
        <v>31142.74165406248</v>
      </c>
      <c r="G80" s="18">
        <f t="shared" si="5"/>
        <v>109071.25812946355</v>
      </c>
      <c r="H80" s="20"/>
    </row>
    <row r="81" spans="2:8" s="10" customFormat="1" ht="15.75">
      <c r="B81" s="46">
        <v>40118</v>
      </c>
      <c r="C81" s="48">
        <f>'Usage and Cost'!AE88</f>
        <v>35546.592000000004</v>
      </c>
      <c r="D81" s="48">
        <f>'Usage and Cost'!AE197</f>
        <v>12176.684</v>
      </c>
      <c r="E81" s="48">
        <f>'Usage and Cost'!AE308</f>
        <v>18342.646834759274</v>
      </c>
      <c r="F81" s="48">
        <f>'Usage and Cost'!AE420</f>
        <v>42853.52696624988</v>
      </c>
      <c r="G81" s="47">
        <f t="shared" si="5"/>
        <v>108919.44980100918</v>
      </c>
      <c r="H81" s="23"/>
    </row>
    <row r="82" spans="2:11" s="10" customFormat="1" ht="16.5" thickBot="1">
      <c r="B82" s="14">
        <v>40148</v>
      </c>
      <c r="C82" s="25">
        <f>'Usage and Cost'!AE89</f>
        <v>31348.476</v>
      </c>
      <c r="D82" s="25">
        <f>'Usage and Cost'!AE198</f>
        <v>13220.896</v>
      </c>
      <c r="E82" s="25">
        <f>'Usage and Cost'!AE309</f>
        <v>17897.08821497342</v>
      </c>
      <c r="F82" s="25">
        <f>'Usage and Cost'!AE421</f>
        <v>59520.21349312507</v>
      </c>
      <c r="G82" s="24">
        <f t="shared" si="5"/>
        <v>121986.6737080985</v>
      </c>
      <c r="H82" s="34">
        <f>SUM(G80:G82)</f>
        <v>339977.38163857127</v>
      </c>
      <c r="I82" s="182"/>
      <c r="J82" s="182"/>
      <c r="K82" s="182"/>
    </row>
    <row r="83" spans="2:8" s="10" customFormat="1" ht="15.75">
      <c r="B83" s="9">
        <v>40179</v>
      </c>
      <c r="C83" s="19">
        <f>'Usage and Cost'!AE90</f>
        <v>28566.8935</v>
      </c>
      <c r="D83" s="19">
        <f>'Usage and Cost'!AE199</f>
        <v>17555.72</v>
      </c>
      <c r="E83" s="19">
        <f>'Usage and Cost'!AE310</f>
        <v>12418.513478609602</v>
      </c>
      <c r="F83" s="19">
        <f>'Usage and Cost'!AE422</f>
        <v>80206.9624846877</v>
      </c>
      <c r="G83" s="18">
        <f t="shared" si="5"/>
        <v>138748.0894632973</v>
      </c>
      <c r="H83" s="20"/>
    </row>
    <row r="84" spans="2:8" s="10" customFormat="1" ht="15.75">
      <c r="B84" s="46">
        <v>40210</v>
      </c>
      <c r="C84" s="48">
        <f>'Usage and Cost'!AE91</f>
        <v>35720.4085</v>
      </c>
      <c r="D84" s="48">
        <f>'Usage and Cost'!AE200</f>
        <v>20558.98</v>
      </c>
      <c r="E84" s="48">
        <f>'Usage and Cost'!AE311</f>
        <v>21265.609437433155</v>
      </c>
      <c r="F84" s="48">
        <f>'Usage and Cost'!AE423</f>
        <v>78185.85158999983</v>
      </c>
      <c r="G84" s="47">
        <f t="shared" si="5"/>
        <v>155730.849527433</v>
      </c>
      <c r="H84" s="23"/>
    </row>
    <row r="85" spans="2:11" s="10" customFormat="1" ht="16.5" thickBot="1">
      <c r="B85" s="14">
        <v>40238</v>
      </c>
      <c r="C85" s="25">
        <f>'Usage and Cost'!AE92</f>
        <v>29434.182500000003</v>
      </c>
      <c r="D85" s="25">
        <f>'Usage and Cost'!AE201</f>
        <v>15190.968</v>
      </c>
      <c r="E85" s="25">
        <f>'Usage and Cost'!AE312</f>
        <v>14403.750829411758</v>
      </c>
      <c r="F85" s="25">
        <f>'Usage and Cost'!AE424</f>
        <v>57210.11225015627</v>
      </c>
      <c r="G85" s="24">
        <f t="shared" si="5"/>
        <v>116239.01357956804</v>
      </c>
      <c r="H85" s="34">
        <f>SUM(G83:G85)</f>
        <v>410717.95257029834</v>
      </c>
      <c r="I85" s="182"/>
      <c r="J85" s="182"/>
      <c r="K85" s="182"/>
    </row>
    <row r="86" spans="2:8" s="10" customFormat="1" ht="15.75">
      <c r="B86" s="9">
        <v>40269</v>
      </c>
      <c r="C86" s="19">
        <f>'Usage and Cost'!AE93</f>
        <v>35044.66133333333</v>
      </c>
      <c r="D86" s="19">
        <f>'Usage and Cost'!AE202</f>
        <v>17860.96</v>
      </c>
      <c r="E86" s="19">
        <f>'Usage and Cost'!AE313</f>
        <v>22130.129163101574</v>
      </c>
      <c r="F86" s="19">
        <f>'Usage and Cost'!AE425</f>
        <v>53606.581586250046</v>
      </c>
      <c r="G86" s="18">
        <f t="shared" si="5"/>
        <v>128642.33208268495</v>
      </c>
      <c r="H86" s="20"/>
    </row>
    <row r="87" spans="2:8" s="10" customFormat="1" ht="15.75">
      <c r="B87" s="46">
        <v>40299</v>
      </c>
      <c r="C87" s="48">
        <f>'Usage and Cost'!AE94</f>
        <v>23894.2446</v>
      </c>
      <c r="D87" s="48">
        <f>'Usage and Cost'!AE203</f>
        <v>6914.7519999999995</v>
      </c>
      <c r="E87" s="48">
        <f>'Usage and Cost'!AE314</f>
        <v>13155.375837433065</v>
      </c>
      <c r="F87" s="48">
        <f>'Usage and Cost'!AE426</f>
        <v>29289.346432499777</v>
      </c>
      <c r="G87" s="47">
        <f t="shared" si="5"/>
        <v>73253.71886993284</v>
      </c>
      <c r="H87" s="23"/>
    </row>
    <row r="88" spans="2:11" s="10" customFormat="1" ht="16.5" thickBot="1">
      <c r="B88" s="14">
        <v>40330</v>
      </c>
      <c r="C88" s="25">
        <f>'Usage and Cost'!AE95</f>
        <v>26829.515600000002</v>
      </c>
      <c r="D88" s="25">
        <f>'Usage and Cost'!AE204</f>
        <v>3925.584</v>
      </c>
      <c r="E88" s="25">
        <f>'Usage and Cost'!AE315</f>
        <v>10857.757444385088</v>
      </c>
      <c r="F88" s="25">
        <f>'Usage and Cost'!AE427</f>
        <v>19167.08055281273</v>
      </c>
      <c r="G88" s="24">
        <f t="shared" si="5"/>
        <v>60779.93759719782</v>
      </c>
      <c r="H88" s="34">
        <f>SUM(G86:G88)</f>
        <v>262675.9885498156</v>
      </c>
      <c r="I88" s="182"/>
      <c r="J88" s="182"/>
      <c r="K88" s="182"/>
    </row>
    <row r="89" spans="2:11" s="434" customFormat="1" ht="15.75">
      <c r="B89" s="9">
        <v>40360</v>
      </c>
      <c r="C89" s="19">
        <f>'Usage and Cost'!AE96</f>
        <v>32007.07488</v>
      </c>
      <c r="D89" s="19">
        <f>'Usage and Cost'!AE205</f>
        <v>3966.9888999999994</v>
      </c>
      <c r="E89" s="19">
        <f>'Usage and Cost'!AE316</f>
        <v>18375.623548128347</v>
      </c>
      <c r="F89" s="19">
        <f>'Usage and Cost'!AE428</f>
        <v>2490.450269999869</v>
      </c>
      <c r="G89" s="18">
        <f aca="true" t="shared" si="6" ref="G89:G94">SUM(C89:F89)</f>
        <v>56840.13759812822</v>
      </c>
      <c r="H89" s="20"/>
      <c r="I89" s="509"/>
      <c r="J89" s="509"/>
      <c r="K89" s="509"/>
    </row>
    <row r="90" spans="2:11" s="434" customFormat="1" ht="15.75">
      <c r="B90" s="46">
        <v>40391</v>
      </c>
      <c r="C90" s="48">
        <f>'Usage and Cost'!AE97</f>
        <v>36045.0816</v>
      </c>
      <c r="D90" s="48">
        <f>'Usage and Cost'!AE206</f>
        <v>4194.014999999999</v>
      </c>
      <c r="E90" s="48">
        <f>'Usage and Cost'!AE317</f>
        <v>20258.950352941258</v>
      </c>
      <c r="F90" s="48">
        <f>'Usage and Cost'!AE429</f>
        <v>3885.5138437500473</v>
      </c>
      <c r="G90" s="47">
        <f t="shared" si="6"/>
        <v>64383.5607966913</v>
      </c>
      <c r="H90" s="23"/>
      <c r="I90" s="509"/>
      <c r="J90" s="509"/>
      <c r="K90" s="509"/>
    </row>
    <row r="91" spans="2:11" s="434" customFormat="1" ht="16.5" thickBot="1">
      <c r="B91" s="14">
        <v>40422</v>
      </c>
      <c r="C91" s="25">
        <f>'Usage and Cost'!AE98</f>
        <v>38862.69728</v>
      </c>
      <c r="D91" s="25">
        <f>'Usage and Cost'!AE207</f>
        <v>5725.419</v>
      </c>
      <c r="E91" s="25">
        <f>'Usage and Cost'!AE318</f>
        <v>26945.34007486622</v>
      </c>
      <c r="F91" s="25">
        <f>'Usage and Cost'!AE430</f>
        <v>5314.251009374958</v>
      </c>
      <c r="G91" s="24">
        <f t="shared" si="6"/>
        <v>76847.70736424119</v>
      </c>
      <c r="H91" s="34">
        <f>SUM(G89:G91)</f>
        <v>198071.4057590607</v>
      </c>
      <c r="I91" s="509"/>
      <c r="J91" s="509"/>
      <c r="K91" s="509"/>
    </row>
    <row r="92" spans="2:11" s="434" customFormat="1" ht="15.75">
      <c r="B92" s="9">
        <v>40452</v>
      </c>
      <c r="C92" s="19">
        <f>'Usage and Cost'!AE99</f>
        <v>26648.81472</v>
      </c>
      <c r="D92" s="19">
        <f>'Usage and Cost'!AE208</f>
        <v>8760.5147</v>
      </c>
      <c r="E92" s="19">
        <f>'Usage and Cost'!AE319</f>
        <v>29582.29065240637</v>
      </c>
      <c r="F92" s="19">
        <f>'Usage and Cost'!AE431</f>
        <v>17539.496349375026</v>
      </c>
      <c r="G92" s="18">
        <f t="shared" si="6"/>
        <v>82531.1164217814</v>
      </c>
      <c r="H92" s="20"/>
      <c r="I92" s="509"/>
      <c r="J92" s="509"/>
      <c r="K92" s="509"/>
    </row>
    <row r="93" spans="2:11" s="434" customFormat="1" ht="15.75">
      <c r="B93" s="46">
        <v>40483</v>
      </c>
      <c r="C93" s="48">
        <f>'Usage and Cost'!AE100</f>
        <v>38374.99072</v>
      </c>
      <c r="D93" s="48">
        <f>'Usage and Cost'!AE209</f>
        <v>11193.5803</v>
      </c>
      <c r="E93" s="48">
        <f>'Usage and Cost'!AE320</f>
        <v>36134.85667112313</v>
      </c>
      <c r="F93" s="48">
        <f>'Usage and Cost'!AE432</f>
        <v>32109.798538124927</v>
      </c>
      <c r="G93" s="47">
        <f t="shared" si="6"/>
        <v>117813.22622924806</v>
      </c>
      <c r="H93" s="23"/>
      <c r="I93" s="509"/>
      <c r="J93" s="509"/>
      <c r="K93" s="509"/>
    </row>
    <row r="94" spans="2:11" s="434" customFormat="1" ht="16.5" thickBot="1">
      <c r="B94" s="14">
        <v>40513</v>
      </c>
      <c r="C94" s="25">
        <f>'Usage and Cost'!AE101</f>
        <v>33628.02256</v>
      </c>
      <c r="D94" s="25">
        <f>'Usage and Cost'!AE210</f>
        <v>13071.4087</v>
      </c>
      <c r="E94" s="25">
        <f>'Usage and Cost'!AE321</f>
        <v>29841.236860962425</v>
      </c>
      <c r="F94" s="25">
        <f>'Usage and Cost'!AE433</f>
        <v>47874.93176812504</v>
      </c>
      <c r="G94" s="24">
        <f t="shared" si="6"/>
        <v>124415.59988908746</v>
      </c>
      <c r="H94" s="34">
        <f>SUM(G92:G94)</f>
        <v>324759.94254011696</v>
      </c>
      <c r="I94" s="509"/>
      <c r="J94" s="509"/>
      <c r="K94" s="509"/>
    </row>
    <row r="95" spans="2:9" s="44" customFormat="1" ht="15.75">
      <c r="B95" s="444" t="s">
        <v>11</v>
      </c>
      <c r="C95" s="445">
        <f>SUM(C83:C94)</f>
        <v>385056.5877933334</v>
      </c>
      <c r="D95" s="445">
        <f>SUM(D83:D94)</f>
        <v>128918.89059999998</v>
      </c>
      <c r="E95" s="445">
        <f>SUM(E83:E94)</f>
        <v>255369.43435080198</v>
      </c>
      <c r="F95" s="445">
        <f>SUM(F83:F94)</f>
        <v>426880.37667515624</v>
      </c>
      <c r="G95" s="445">
        <f>SUM(G83:G94)</f>
        <v>1196225.2894192915</v>
      </c>
      <c r="H95" s="445">
        <f>SUM(H83:H94)</f>
        <v>1196225.2894192915</v>
      </c>
      <c r="I95" s="452"/>
    </row>
    <row r="96" spans="2:8" s="44" customFormat="1" ht="15.75">
      <c r="B96" s="443"/>
      <c r="C96" s="442"/>
      <c r="D96" s="442"/>
      <c r="E96" s="442"/>
      <c r="F96" s="442"/>
      <c r="G96" s="442"/>
      <c r="H96" s="442"/>
    </row>
    <row r="97" spans="2:7" s="3" customFormat="1" ht="15">
      <c r="B97" s="16" t="s">
        <v>6</v>
      </c>
      <c r="C97" s="15"/>
      <c r="D97" s="15"/>
      <c r="E97" s="15"/>
      <c r="F97" s="15"/>
      <c r="G97" s="113"/>
    </row>
    <row r="98" spans="2:3" s="3" customFormat="1" ht="15.75">
      <c r="B98" s="44" t="s">
        <v>69</v>
      </c>
      <c r="C98" s="3" t="s">
        <v>109</v>
      </c>
    </row>
    <row r="99" ht="14.25">
      <c r="C99" s="45" t="s">
        <v>71</v>
      </c>
    </row>
    <row r="100" ht="14.25">
      <c r="C100" s="45" t="s">
        <v>70</v>
      </c>
    </row>
    <row r="101" ht="14.25">
      <c r="C101" s="45"/>
    </row>
  </sheetData>
  <sheetProtection/>
  <printOptions horizontalCentered="1"/>
  <pageMargins left="0.75" right="0.75" top="0.75" bottom="0.75" header="0.5" footer="0.5"/>
  <pageSetup fitToHeight="1" fitToWidth="1" horizontalDpi="300" verticalDpi="300" orientation="landscape" scale="79" r:id="rId2"/>
  <headerFooter alignWithMargins="0">
    <oddFooter>&amp;L&amp;D&amp;Rpage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1"/>
  <sheetViews>
    <sheetView view="pageBreakPreview" zoomScale="75" zoomScaleNormal="75" zoomScaleSheetLayoutView="75" zoomScalePageLayoutView="0" workbookViewId="0" topLeftCell="A1">
      <pane xSplit="2" ySplit="4" topLeftCell="C8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95" sqref="B95"/>
    </sheetView>
  </sheetViews>
  <sheetFormatPr defaultColWidth="9.140625" defaultRowHeight="12.75"/>
  <cols>
    <col min="1" max="1" width="2.8515625" style="0" customWidth="1"/>
    <col min="2" max="2" width="14.00390625" style="0" customWidth="1"/>
    <col min="3" max="6" width="19.421875" style="0" customWidth="1"/>
    <col min="7" max="7" width="19.8515625" style="0" customWidth="1"/>
    <col min="8" max="8" width="19.421875" style="0" customWidth="1"/>
    <col min="9" max="9" width="20.00390625" style="0" customWidth="1"/>
    <col min="10" max="10" width="11.28125" style="0" bestFit="1" customWidth="1"/>
    <col min="11" max="11" width="12.8515625" style="0" customWidth="1"/>
  </cols>
  <sheetData>
    <row r="1" s="2" customFormat="1" ht="19.5" customHeight="1">
      <c r="B1" s="1" t="s">
        <v>116</v>
      </c>
    </row>
    <row r="2" s="2" customFormat="1" ht="19.5" customHeight="1">
      <c r="B2" s="1" t="s">
        <v>4</v>
      </c>
    </row>
    <row r="3" s="2" customFormat="1" ht="19.5" customHeight="1" thickBot="1">
      <c r="B3" s="3" t="s">
        <v>39</v>
      </c>
    </row>
    <row r="4" spans="2:8" s="8" customFormat="1" ht="19.5" customHeight="1" thickBot="1">
      <c r="B4" s="4"/>
      <c r="C4" s="5" t="s">
        <v>0</v>
      </c>
      <c r="D4" s="5" t="s">
        <v>1</v>
      </c>
      <c r="E4" s="6" t="s">
        <v>3</v>
      </c>
      <c r="F4" s="5" t="s">
        <v>62</v>
      </c>
      <c r="G4" s="5" t="s">
        <v>2</v>
      </c>
      <c r="H4" s="7" t="s">
        <v>5</v>
      </c>
    </row>
    <row r="5" spans="2:10" s="12" customFormat="1" ht="15.75">
      <c r="B5" s="9">
        <v>37803</v>
      </c>
      <c r="C5" s="18">
        <f>'Usage and Cost'!AI12</f>
        <v>12084.650381358397</v>
      </c>
      <c r="D5" s="19">
        <f>'Usage and Cost'!AI121</f>
        <v>1892.0442999999998</v>
      </c>
      <c r="E5" s="19">
        <f>'Usage and Cost'!AI232</f>
        <v>6174.532085561497</v>
      </c>
      <c r="F5" s="19">
        <f>'Usage and Cost'!AE344</f>
        <v>1899.1665</v>
      </c>
      <c r="G5" s="18">
        <f aca="true" t="shared" si="0" ref="G5:G36">SUM(C5:F5)</f>
        <v>22050.39326691989</v>
      </c>
      <c r="H5" s="20"/>
      <c r="I5" s="10"/>
      <c r="J5" s="11"/>
    </row>
    <row r="6" spans="2:8" s="12" customFormat="1" ht="15.75">
      <c r="B6" s="13">
        <v>37834</v>
      </c>
      <c r="C6" s="21">
        <f>'Usage and Cost'!AI13</f>
        <v>15984.894381358396</v>
      </c>
      <c r="D6" s="22">
        <f>'Usage and Cost'!AI122</f>
        <v>2434.6263499999995</v>
      </c>
      <c r="E6" s="22">
        <f>'Usage and Cost'!AI233</f>
        <v>9240.441176470587</v>
      </c>
      <c r="F6" s="22">
        <f>'Usage and Cost'!AE345</f>
        <v>2704.779</v>
      </c>
      <c r="G6" s="21">
        <f t="shared" si="0"/>
        <v>30364.740907828982</v>
      </c>
      <c r="H6" s="23"/>
    </row>
    <row r="7" spans="2:8" s="12" customFormat="1" ht="16.5" thickBot="1">
      <c r="B7" s="14">
        <v>37865</v>
      </c>
      <c r="C7" s="24">
        <f>'Usage and Cost'!AI14</f>
        <v>26496.360822788487</v>
      </c>
      <c r="D7" s="25">
        <f>'Usage and Cost'!AI123</f>
        <v>5682.5728500000005</v>
      </c>
      <c r="E7" s="25">
        <f>'Usage and Cost'!AI234</f>
        <v>10991.711229946524</v>
      </c>
      <c r="F7" s="25">
        <f>'Usage and Cost'!AE346</f>
        <v>3120.5789999999997</v>
      </c>
      <c r="G7" s="24">
        <f t="shared" si="0"/>
        <v>46291.22390273501</v>
      </c>
      <c r="H7" s="34">
        <f>SUM(G5:G7)</f>
        <v>98706.35807748389</v>
      </c>
    </row>
    <row r="8" spans="2:8" s="12" customFormat="1" ht="15.75">
      <c r="B8" s="9">
        <v>37895</v>
      </c>
      <c r="C8" s="18">
        <f>'Usage and Cost'!AI15</f>
        <v>22842.535663210925</v>
      </c>
      <c r="D8" s="19">
        <f>'Usage and Cost'!AI124</f>
        <v>8966.6221</v>
      </c>
      <c r="E8" s="19">
        <f>'Usage and Cost'!AI235</f>
        <v>18589.090909090908</v>
      </c>
      <c r="F8" s="19">
        <f>'Usage and Cost'!AE347</f>
        <v>22518.688499999997</v>
      </c>
      <c r="G8" s="18">
        <f t="shared" si="0"/>
        <v>72916.93717230184</v>
      </c>
      <c r="H8" s="20"/>
    </row>
    <row r="9" spans="2:8" s="12" customFormat="1" ht="15.75">
      <c r="B9" s="13">
        <v>37926</v>
      </c>
      <c r="C9" s="21">
        <f>'Usage and Cost'!AI16</f>
        <v>21886.57624261215</v>
      </c>
      <c r="D9" s="22">
        <f>'Usage and Cost'!AI125</f>
        <v>11449.38545</v>
      </c>
      <c r="E9" s="22">
        <f>'Usage and Cost'!AI236</f>
        <v>15931.811497326204</v>
      </c>
      <c r="F9" s="22">
        <f>'Usage and Cost'!AE348</f>
        <v>24740.1</v>
      </c>
      <c r="G9" s="21">
        <f t="shared" si="0"/>
        <v>74007.87318993836</v>
      </c>
      <c r="H9" s="23"/>
    </row>
    <row r="10" spans="2:8" s="12" customFormat="1" ht="16.5" thickBot="1">
      <c r="B10" s="14">
        <v>37956</v>
      </c>
      <c r="C10" s="24">
        <f>'Usage and Cost'!AI17</f>
        <v>27029.5033116946</v>
      </c>
      <c r="D10" s="25">
        <f>'Usage and Cost'!AI126</f>
        <v>11326.6588675</v>
      </c>
      <c r="E10" s="25">
        <f>'Usage and Cost'!AI237</f>
        <v>17244.552139037434</v>
      </c>
      <c r="F10" s="25">
        <f>'Usage and Cost'!AE349</f>
        <v>49221.05265</v>
      </c>
      <c r="G10" s="24">
        <f t="shared" si="0"/>
        <v>104821.76696823203</v>
      </c>
      <c r="H10" s="34">
        <f>SUM(G8:G10)</f>
        <v>251746.5773304722</v>
      </c>
    </row>
    <row r="11" spans="2:8" s="12" customFormat="1" ht="15.75">
      <c r="B11" s="9">
        <v>37987</v>
      </c>
      <c r="C11" s="18">
        <f>'Usage and Cost'!AI18</f>
        <v>18760.76067435326</v>
      </c>
      <c r="D11" s="19">
        <f>'Usage and Cost'!AI127</f>
        <v>11260.6656425</v>
      </c>
      <c r="E11" s="19">
        <f>'Usage and Cost'!AI238</f>
        <v>14276.853386809267</v>
      </c>
      <c r="F11" s="19">
        <f>'Usage and Cost'!AE350</f>
        <v>40037.174100000004</v>
      </c>
      <c r="G11" s="18">
        <f t="shared" si="0"/>
        <v>84335.45380366253</v>
      </c>
      <c r="H11" s="20"/>
    </row>
    <row r="12" spans="2:8" s="12" customFormat="1" ht="15.75">
      <c r="B12" s="13">
        <v>38018</v>
      </c>
      <c r="C12" s="21">
        <f>'Usage and Cost'!AI19</f>
        <v>20066.03534347447</v>
      </c>
      <c r="D12" s="22">
        <f>'Usage and Cost'!AI128</f>
        <v>11478.231872499999</v>
      </c>
      <c r="E12" s="22">
        <f>'Usage and Cost'!AI239</f>
        <v>14587.989898989897</v>
      </c>
      <c r="F12" s="22">
        <f>'Usage and Cost'!AE351</f>
        <v>41511.80879999999</v>
      </c>
      <c r="G12" s="21">
        <f t="shared" si="0"/>
        <v>87644.06591496436</v>
      </c>
      <c r="H12" s="23"/>
    </row>
    <row r="13" spans="2:8" s="12" customFormat="1" ht="16.5" thickBot="1">
      <c r="B13" s="14">
        <v>38047</v>
      </c>
      <c r="C13" s="24">
        <f>'Usage and Cost'!AI20</f>
        <v>19402.49849626974</v>
      </c>
      <c r="D13" s="25">
        <f>'Usage and Cost'!AI129</f>
        <v>10170.108897499998</v>
      </c>
      <c r="E13" s="25">
        <f>'Usage and Cost'!AI240</f>
        <v>13920.404981184389</v>
      </c>
      <c r="F13" s="25">
        <f>'Usage and Cost'!AE352</f>
        <v>32735.206350000015</v>
      </c>
      <c r="G13" s="24">
        <f t="shared" si="0"/>
        <v>76228.21872495415</v>
      </c>
      <c r="H13" s="34">
        <f>SUM(G11:G13)</f>
        <v>248207.73844358104</v>
      </c>
    </row>
    <row r="14" spans="2:8" s="12" customFormat="1" ht="15.75">
      <c r="B14" s="9">
        <v>38078</v>
      </c>
      <c r="C14" s="18">
        <f>'Usage and Cost'!AI21</f>
        <v>25037.717019668635</v>
      </c>
      <c r="D14" s="19">
        <f>'Usage and Cost'!AI130</f>
        <v>7246.27077</v>
      </c>
      <c r="E14" s="19">
        <f>'Usage and Cost'!AI241</f>
        <v>17588.593005215556</v>
      </c>
      <c r="F14" s="19">
        <f>'Usage and Cost'!AE353</f>
        <v>34666.49340000003</v>
      </c>
      <c r="G14" s="18">
        <f t="shared" si="0"/>
        <v>84539.07419488422</v>
      </c>
      <c r="H14" s="20"/>
    </row>
    <row r="15" spans="2:8" s="12" customFormat="1" ht="15.75">
      <c r="B15" s="46">
        <v>38108</v>
      </c>
      <c r="C15" s="21">
        <f>'Usage and Cost'!AI22</f>
        <v>13640.562104447245</v>
      </c>
      <c r="D15" s="22">
        <f>'Usage and Cost'!AI131</f>
        <v>2513.20675</v>
      </c>
      <c r="E15" s="22">
        <f>'Usage and Cost'!AI242</f>
        <v>9202.947860962564</v>
      </c>
      <c r="F15" s="22">
        <f>'Usage and Cost'!AE354</f>
        <v>11099.677049999975</v>
      </c>
      <c r="G15" s="47">
        <f t="shared" si="0"/>
        <v>36456.39376540978</v>
      </c>
      <c r="H15" s="23"/>
    </row>
    <row r="16" spans="2:9" s="43" customFormat="1" ht="16.5" thickBot="1">
      <c r="B16" s="14">
        <v>38139</v>
      </c>
      <c r="C16" s="24">
        <f>'Usage and Cost'!AI23</f>
        <v>16407.35454897781</v>
      </c>
      <c r="D16" s="25">
        <f>'Usage and Cost'!AI132</f>
        <v>2567.9138</v>
      </c>
      <c r="E16" s="25">
        <f>'Usage and Cost'!AI243</f>
        <v>9449.73930481284</v>
      </c>
      <c r="F16" s="25">
        <f>'Usage and Cost'!AE355</f>
        <v>9353.10914999999</v>
      </c>
      <c r="G16" s="24">
        <f t="shared" si="0"/>
        <v>37778.11680379064</v>
      </c>
      <c r="H16" s="34">
        <f>SUM(G14:G16)</f>
        <v>158773.58476408463</v>
      </c>
      <c r="I16" s="42"/>
    </row>
    <row r="17" spans="2:8" s="43" customFormat="1" ht="15.75">
      <c r="B17" s="9">
        <v>38169</v>
      </c>
      <c r="C17" s="18">
        <f>'Usage and Cost'!AI24</f>
        <v>18497.941982366054</v>
      </c>
      <c r="D17" s="19">
        <f>'Usage and Cost'!AI133</f>
        <v>3113.556165048544</v>
      </c>
      <c r="E17" s="19">
        <f>'Usage and Cost'!AI244</f>
        <v>21245.33422459892</v>
      </c>
      <c r="F17" s="19">
        <f>'Usage and Cost'!AE356</f>
        <v>5756.680059000026</v>
      </c>
      <c r="G17" s="18">
        <f t="shared" si="0"/>
        <v>48613.51243101354</v>
      </c>
      <c r="H17" s="20"/>
    </row>
    <row r="18" spans="2:8" s="43" customFormat="1" ht="15.75">
      <c r="B18" s="46">
        <v>38200</v>
      </c>
      <c r="C18" s="21">
        <f>'Usage and Cost'!AI25</f>
        <v>19551.213486580757</v>
      </c>
      <c r="D18" s="22">
        <f>'Usage and Cost'!AI134</f>
        <v>2863.239077669902</v>
      </c>
      <c r="E18" s="22">
        <f>'Usage and Cost'!AI245</f>
        <v>21333.622994652404</v>
      </c>
      <c r="F18" s="22">
        <f>'Usage and Cost'!AE357</f>
        <v>6461.4814679999745</v>
      </c>
      <c r="G18" s="47">
        <f t="shared" si="0"/>
        <v>50209.557026903036</v>
      </c>
      <c r="H18" s="23"/>
    </row>
    <row r="19" spans="2:8" s="43" customFormat="1" ht="16.5" thickBot="1">
      <c r="B19" s="14">
        <v>38231</v>
      </c>
      <c r="C19" s="24">
        <f>'Usage and Cost'!AI26</f>
        <v>24304.00561912606</v>
      </c>
      <c r="D19" s="25">
        <f>'Usage and Cost'!AI135</f>
        <v>4386.1238834951455</v>
      </c>
      <c r="E19" s="25">
        <f>'Usage and Cost'!AI246</f>
        <v>30068.268716577528</v>
      </c>
      <c r="F19" s="25">
        <f>'Usage and Cost'!AE358</f>
        <v>6564.756861000006</v>
      </c>
      <c r="G19" s="24">
        <f t="shared" si="0"/>
        <v>65323.15508019874</v>
      </c>
      <c r="H19" s="34">
        <f>SUM(G17:G19)</f>
        <v>164146.22453811532</v>
      </c>
    </row>
    <row r="20" spans="2:8" s="43" customFormat="1" ht="15.75">
      <c r="B20" s="9">
        <v>38261</v>
      </c>
      <c r="C20" s="18">
        <f>'Usage and Cost'!AI27</f>
        <v>25789.764070342022</v>
      </c>
      <c r="D20" s="19">
        <f>'Usage and Cost'!AI136</f>
        <v>5400.502330097088</v>
      </c>
      <c r="E20" s="19">
        <f>'Usage and Cost'!AI247</f>
        <v>34565.05347593584</v>
      </c>
      <c r="F20" s="19">
        <f>'Usage and Cost'!AE359</f>
        <v>28091.913915000016</v>
      </c>
      <c r="G20" s="18">
        <f t="shared" si="0"/>
        <v>93847.23379137497</v>
      </c>
      <c r="H20" s="20"/>
    </row>
    <row r="21" spans="2:8" s="43" customFormat="1" ht="15.75">
      <c r="B21" s="46">
        <v>38292</v>
      </c>
      <c r="C21" s="21">
        <f>'Usage and Cost'!AI28</f>
        <v>25050.875297451796</v>
      </c>
      <c r="D21" s="22">
        <f>'Usage and Cost'!AI137</f>
        <v>5193.405679611652</v>
      </c>
      <c r="E21" s="22">
        <f>'Usage and Cost'!AI248</f>
        <v>32098.9104278075</v>
      </c>
      <c r="F21" s="22">
        <f>'Usage and Cost'!AE360</f>
        <v>39194.410281</v>
      </c>
      <c r="G21" s="47">
        <f t="shared" si="0"/>
        <v>101537.60168587093</v>
      </c>
      <c r="H21" s="23"/>
    </row>
    <row r="22" spans="2:8" s="43" customFormat="1" ht="16.5" thickBot="1">
      <c r="B22" s="14">
        <v>38322</v>
      </c>
      <c r="C22" s="24">
        <f>'Usage and Cost'!AI29</f>
        <v>22643.504873558762</v>
      </c>
      <c r="D22" s="25">
        <f>'Usage and Cost'!AI138</f>
        <v>4144.689805825242</v>
      </c>
      <c r="E22" s="25">
        <f>'Usage and Cost'!AI249</f>
        <v>24697.08556149734</v>
      </c>
      <c r="F22" s="25">
        <f>'Usage and Cost'!AE361</f>
        <v>56676.1929864</v>
      </c>
      <c r="G22" s="24">
        <f t="shared" si="0"/>
        <v>108161.47322728134</v>
      </c>
      <c r="H22" s="34">
        <f>SUM(G20:G22)</f>
        <v>303546.30870452727</v>
      </c>
    </row>
    <row r="23" spans="2:8" s="43" customFormat="1" ht="15.75">
      <c r="B23" s="9">
        <v>38353</v>
      </c>
      <c r="C23" s="18">
        <f>'Usage and Cost'!AI30</f>
        <v>21373.430327972095</v>
      </c>
      <c r="D23" s="19">
        <f>'Usage and Cost'!AI139</f>
        <v>5225.813349514562</v>
      </c>
      <c r="E23" s="19">
        <f>'Usage and Cost'!AI250</f>
        <v>24534.93983957215</v>
      </c>
      <c r="F23" s="19">
        <f>'Usage and Cost'!AE362</f>
        <v>55915.80412859999</v>
      </c>
      <c r="G23" s="18">
        <f t="shared" si="0"/>
        <v>107049.98764565881</v>
      </c>
      <c r="H23" s="20"/>
    </row>
    <row r="24" spans="2:8" s="43" customFormat="1" ht="15.75">
      <c r="B24" s="46">
        <v>38384</v>
      </c>
      <c r="C24" s="21">
        <f>'Usage and Cost'!AI31</f>
        <v>21477.090943222556</v>
      </c>
      <c r="D24" s="22">
        <f>'Usage and Cost'!AI140</f>
        <v>5288.852087378642</v>
      </c>
      <c r="E24" s="22">
        <f>'Usage and Cost'!AI251</f>
        <v>26404.11497326202</v>
      </c>
      <c r="F24" s="22">
        <f>'Usage and Cost'!AE363</f>
        <v>45922.52800199999</v>
      </c>
      <c r="G24" s="47">
        <f t="shared" si="0"/>
        <v>99092.58600586321</v>
      </c>
      <c r="H24" s="23"/>
    </row>
    <row r="25" spans="2:8" s="43" customFormat="1" ht="16.5" thickBot="1">
      <c r="B25" s="14">
        <v>38412</v>
      </c>
      <c r="C25" s="24">
        <f>'Usage and Cost'!AI32</f>
        <v>15509.570511093887</v>
      </c>
      <c r="D25" s="25">
        <f>'Usage and Cost'!AI141</f>
        <v>3488.890893203885</v>
      </c>
      <c r="E25" s="25">
        <f>'Usage and Cost'!AI252</f>
        <v>17079.71724598933</v>
      </c>
      <c r="F25" s="25">
        <f>'Usage and Cost'!AE364</f>
        <v>33701.79298199998</v>
      </c>
      <c r="G25" s="24">
        <f t="shared" si="0"/>
        <v>69779.97163228708</v>
      </c>
      <c r="H25" s="34">
        <f>SUM(G23:G25)</f>
        <v>275922.5452838091</v>
      </c>
    </row>
    <row r="26" spans="2:8" s="10" customFormat="1" ht="15.75">
      <c r="B26" s="9">
        <v>38443</v>
      </c>
      <c r="C26" s="18">
        <f>'Usage and Cost'!AI33</f>
        <v>25845.257820947583</v>
      </c>
      <c r="D26" s="19">
        <f>'Usage and Cost'!AI142</f>
        <v>6648.828621359225</v>
      </c>
      <c r="E26" s="19">
        <f>'Usage and Cost'!AI253</f>
        <v>32436.61497326203</v>
      </c>
      <c r="F26" s="19">
        <f>'Usage and Cost'!AE365</f>
        <v>28288.730184000007</v>
      </c>
      <c r="G26" s="18">
        <f t="shared" si="0"/>
        <v>93219.43159956884</v>
      </c>
      <c r="H26" s="20"/>
    </row>
    <row r="27" spans="2:8" s="10" customFormat="1" ht="15.75">
      <c r="B27" s="46">
        <v>38473</v>
      </c>
      <c r="C27" s="21">
        <f>'Usage and Cost'!AI34</f>
        <v>14171.766788586378</v>
      </c>
      <c r="D27" s="22">
        <f>'Usage and Cost'!AI143</f>
        <v>2153.0577669902877</v>
      </c>
      <c r="E27" s="22">
        <f>'Usage and Cost'!AI254</f>
        <v>16890.57553475935</v>
      </c>
      <c r="F27" s="22">
        <f>'Usage and Cost'!AE366</f>
        <v>14329.097133000025</v>
      </c>
      <c r="G27" s="47">
        <f t="shared" si="0"/>
        <v>47544.49722333604</v>
      </c>
      <c r="H27" s="23"/>
    </row>
    <row r="28" spans="2:8" s="10" customFormat="1" ht="16.5" thickBot="1">
      <c r="B28" s="14">
        <v>38504</v>
      </c>
      <c r="C28" s="24">
        <f>'Usage and Cost'!AI35</f>
        <v>15103.806226140876</v>
      </c>
      <c r="D28" s="25">
        <f>'Usage and Cost'!AI144</f>
        <v>1366.7276213592252</v>
      </c>
      <c r="E28" s="25">
        <f>'Usage and Cost'!AI255</f>
        <v>17937.90106951874</v>
      </c>
      <c r="F28" s="25">
        <f>'Usage and Cost'!AE367</f>
        <v>4033.446767999991</v>
      </c>
      <c r="G28" s="24">
        <f t="shared" si="0"/>
        <v>38441.88168501883</v>
      </c>
      <c r="H28" s="34">
        <f>SUM(G26:G28)</f>
        <v>179205.8105079237</v>
      </c>
    </row>
    <row r="29" spans="2:8" s="43" customFormat="1" ht="15.75">
      <c r="B29" s="9">
        <v>38534</v>
      </c>
      <c r="C29" s="18">
        <f>'Usage and Cost'!AI36</f>
        <v>18298.646405387077</v>
      </c>
      <c r="D29" s="19">
        <f>'Usage and Cost'!AI145</f>
        <v>720.3983106796118</v>
      </c>
      <c r="E29" s="19">
        <f>'Usage and Cost'!AI256</f>
        <v>11004.5254010695</v>
      </c>
      <c r="F29" s="19">
        <f>'Usage and Cost'!AE368</f>
        <v>2181.7376831250194</v>
      </c>
      <c r="G29" s="18">
        <f t="shared" si="0"/>
        <v>32205.307800261206</v>
      </c>
      <c r="H29" s="20"/>
    </row>
    <row r="30" spans="2:8" s="43" customFormat="1" ht="15.75">
      <c r="B30" s="46">
        <v>38565</v>
      </c>
      <c r="C30" s="21">
        <f>'Usage and Cost'!AI37</f>
        <v>20068.978819881795</v>
      </c>
      <c r="D30" s="22">
        <f>'Usage and Cost'!AI146</f>
        <v>1927.899291262136</v>
      </c>
      <c r="E30" s="22">
        <f>'Usage and Cost'!AI257</f>
        <v>11210.026737967923</v>
      </c>
      <c r="F30" s="22">
        <f>'Usage and Cost'!AE369</f>
        <v>2203.3095459374617</v>
      </c>
      <c r="G30" s="47">
        <f t="shared" si="0"/>
        <v>35410.21439504931</v>
      </c>
      <c r="H30" s="23"/>
    </row>
    <row r="31" spans="2:8" s="43" customFormat="1" ht="16.5" thickBot="1">
      <c r="B31" s="14">
        <v>38596</v>
      </c>
      <c r="C31" s="24">
        <f>'Usage and Cost'!AI38</f>
        <v>27157.91268772406</v>
      </c>
      <c r="D31" s="25">
        <f>'Usage and Cost'!AI147</f>
        <v>6274.971306796118</v>
      </c>
      <c r="E31" s="25">
        <f>'Usage and Cost'!AI258</f>
        <v>19559.740641711214</v>
      </c>
      <c r="F31" s="25">
        <f>'Usage and Cost'!AE370</f>
        <v>4274.72085665627</v>
      </c>
      <c r="G31" s="24">
        <f t="shared" si="0"/>
        <v>57267.34549288766</v>
      </c>
      <c r="H31" s="34">
        <f>SUM(G29:G31)</f>
        <v>124882.86768819818</v>
      </c>
    </row>
    <row r="32" spans="2:8" s="43" customFormat="1" ht="15.75">
      <c r="B32" s="9">
        <v>38626</v>
      </c>
      <c r="C32" s="18">
        <f>'Usage and Cost'!AI39</f>
        <v>24769.683187191167</v>
      </c>
      <c r="D32" s="19">
        <f>'Usage and Cost'!AI148</f>
        <v>8994.952615533979</v>
      </c>
      <c r="E32" s="19">
        <f>'Usage and Cost'!AI259</f>
        <v>19844.310160427834</v>
      </c>
      <c r="F32" s="19">
        <f>'Usage and Cost'!AE371</f>
        <v>13072.870654593738</v>
      </c>
      <c r="G32" s="18">
        <f t="shared" si="0"/>
        <v>66681.81661774672</v>
      </c>
      <c r="H32" s="20"/>
    </row>
    <row r="33" spans="2:8" s="43" customFormat="1" ht="15.75">
      <c r="B33" s="46">
        <v>38657</v>
      </c>
      <c r="C33" s="21">
        <f>'Usage and Cost'!AI40</f>
        <v>21926.433187191164</v>
      </c>
      <c r="D33" s="22">
        <f>'Usage and Cost'!AI149</f>
        <v>11721.042825242721</v>
      </c>
      <c r="E33" s="22">
        <f>'Usage and Cost'!AI260</f>
        <v>17190.09191176471</v>
      </c>
      <c r="F33" s="22">
        <f>'Usage and Cost'!AE372</f>
        <v>24830.048368125033</v>
      </c>
      <c r="G33" s="47">
        <f t="shared" si="0"/>
        <v>75667.61629232363</v>
      </c>
      <c r="H33" s="23"/>
    </row>
    <row r="34" spans="2:8" s="43" customFormat="1" ht="16.5" thickBot="1">
      <c r="B34" s="14">
        <v>38687</v>
      </c>
      <c r="C34" s="24">
        <f>'Usage and Cost'!AI41</f>
        <v>17340.716747408198</v>
      </c>
      <c r="D34" s="25">
        <f>'Usage and Cost'!AI150</f>
        <v>10478.340330097088</v>
      </c>
      <c r="E34" s="25">
        <f>'Usage and Cost'!AI261</f>
        <v>12221.990307486629</v>
      </c>
      <c r="F34" s="25">
        <f>'Usage and Cost'!AE373</f>
        <v>34632.135975937425</v>
      </c>
      <c r="G34" s="24">
        <f t="shared" si="0"/>
        <v>74673.18336092934</v>
      </c>
      <c r="H34" s="34">
        <f>SUM(G32:G34)</f>
        <v>217022.6162709997</v>
      </c>
    </row>
    <row r="35" spans="2:8" s="43" customFormat="1" ht="15.75">
      <c r="B35" s="9">
        <v>38718</v>
      </c>
      <c r="C35" s="18">
        <f>'Usage and Cost'!AI42</f>
        <v>22427.04666214514</v>
      </c>
      <c r="D35" s="19">
        <f>'Usage and Cost'!AI151</f>
        <v>11255.307611650485</v>
      </c>
      <c r="E35" s="19">
        <f>'Usage and Cost'!AI262</f>
        <v>15053.091577540099</v>
      </c>
      <c r="F35" s="19">
        <f>'Usage and Cost'!AE374</f>
        <v>46782.696272812485</v>
      </c>
      <c r="G35" s="18">
        <f t="shared" si="0"/>
        <v>95518.14212414822</v>
      </c>
      <c r="H35" s="20"/>
    </row>
    <row r="36" spans="2:8" s="43" customFormat="1" ht="15.75">
      <c r="B36" s="46">
        <v>38749</v>
      </c>
      <c r="C36" s="21">
        <f>'Usage and Cost'!AI43</f>
        <v>22399.84468559248</v>
      </c>
      <c r="D36" s="22">
        <f>'Usage and Cost'!AI152</f>
        <v>12802.873029126215</v>
      </c>
      <c r="E36" s="22">
        <f>'Usage and Cost'!AI263</f>
        <v>15988.763368983955</v>
      </c>
      <c r="F36" s="22">
        <f>'Usage and Cost'!AE375</f>
        <v>40110.55485937498</v>
      </c>
      <c r="G36" s="47">
        <f t="shared" si="0"/>
        <v>91302.03594307763</v>
      </c>
      <c r="H36" s="23"/>
    </row>
    <row r="37" spans="2:8" s="43" customFormat="1" ht="16.5" thickBot="1">
      <c r="B37" s="14">
        <v>38777</v>
      </c>
      <c r="C37" s="24">
        <f>'Usage and Cost'!AI44</f>
        <v>19735.632719697704</v>
      </c>
      <c r="D37" s="25">
        <f>'Usage and Cost'!AI153</f>
        <v>9757.188679611652</v>
      </c>
      <c r="E37" s="25">
        <f>'Usage and Cost'!AI264</f>
        <v>13284.973262032092</v>
      </c>
      <c r="F37" s="25">
        <f>'Usage and Cost'!AE376</f>
        <v>38050.73991468755</v>
      </c>
      <c r="G37" s="24">
        <f aca="true" t="shared" si="1" ref="G37:G64">SUM(C37:F37)</f>
        <v>80828.534576029</v>
      </c>
      <c r="H37" s="34">
        <f>SUM(G35:G37)</f>
        <v>267648.71264325484</v>
      </c>
    </row>
    <row r="38" spans="2:8" s="43" customFormat="1" ht="15.75">
      <c r="B38" s="9">
        <v>38808</v>
      </c>
      <c r="C38" s="18">
        <f>'Usage and Cost'!AI45</f>
        <v>24840.290054258305</v>
      </c>
      <c r="D38" s="19">
        <f>'Usage and Cost'!AI154</f>
        <v>7205.25008737864</v>
      </c>
      <c r="E38" s="19">
        <f>'Usage and Cost'!AI265</f>
        <v>17830.207219251326</v>
      </c>
      <c r="F38" s="19">
        <f>'Usage and Cost'!AE377</f>
        <v>33563.91163124998</v>
      </c>
      <c r="G38" s="18">
        <f t="shared" si="1"/>
        <v>83439.65899213825</v>
      </c>
      <c r="H38" s="20"/>
    </row>
    <row r="39" spans="2:8" s="43" customFormat="1" ht="15.75">
      <c r="B39" s="46">
        <v>38838</v>
      </c>
      <c r="C39" s="21">
        <f>'Usage and Cost'!AI46</f>
        <v>17039.942151438816</v>
      </c>
      <c r="D39" s="22">
        <f>'Usage and Cost'!AI155</f>
        <v>2587.7222330097075</v>
      </c>
      <c r="E39" s="22">
        <f>'Usage and Cost'!AI266</f>
        <v>12227.092245989319</v>
      </c>
      <c r="F39" s="22">
        <f>'Usage and Cost'!AE378</f>
        <v>20201.989933125024</v>
      </c>
      <c r="G39" s="47">
        <f t="shared" si="1"/>
        <v>52056.74656356286</v>
      </c>
      <c r="H39" s="23"/>
    </row>
    <row r="40" spans="2:8" s="10" customFormat="1" ht="16.5" thickBot="1">
      <c r="B40" s="14">
        <v>38869</v>
      </c>
      <c r="C40" s="24">
        <f>'Usage and Cost'!AI47</f>
        <v>12520.19169896328</v>
      </c>
      <c r="D40" s="25">
        <f>'Usage and Cost'!AI156</f>
        <v>910.5481262135943</v>
      </c>
      <c r="E40" s="25">
        <f>'Usage and Cost'!AI267</f>
        <v>8558.917112299461</v>
      </c>
      <c r="F40" s="25">
        <f>'Usage and Cost'!AE379</f>
        <v>7333.122359062458</v>
      </c>
      <c r="G40" s="24">
        <f t="shared" si="1"/>
        <v>29322.779296538793</v>
      </c>
      <c r="H40" s="34">
        <f>SUM(G38:G40)</f>
        <v>164819.1848522399</v>
      </c>
    </row>
    <row r="41" spans="2:9" s="10" customFormat="1" ht="15.75">
      <c r="B41" s="9">
        <v>38899</v>
      </c>
      <c r="C41" s="18">
        <f>'Usage and Cost'!AI48</f>
        <v>20616.13720182153</v>
      </c>
      <c r="D41" s="19">
        <f>'Usage and Cost'!AI157</f>
        <v>3241.13126213592</v>
      </c>
      <c r="E41" s="19">
        <f>'Usage and Cost'!AI268</f>
        <v>11542.95788770056</v>
      </c>
      <c r="F41" s="19">
        <f>'Usage and Cost'!AE380</f>
        <v>4217.572445625027</v>
      </c>
      <c r="G41" s="18">
        <f t="shared" si="1"/>
        <v>39617.79879728304</v>
      </c>
      <c r="H41" s="20"/>
      <c r="I41" s="12"/>
    </row>
    <row r="42" spans="2:9" s="10" customFormat="1" ht="15.75">
      <c r="B42" s="46">
        <v>38930</v>
      </c>
      <c r="C42" s="21">
        <f>'Usage and Cost'!AI49</f>
        <v>20801.897459064046</v>
      </c>
      <c r="D42" s="22">
        <f>'Usage and Cost'!AI158</f>
        <v>3844.500582524273</v>
      </c>
      <c r="E42" s="22">
        <f>'Usage and Cost'!AI269</f>
        <v>10872.776737967886</v>
      </c>
      <c r="F42" s="22">
        <f>'Usage and Cost'!AE381</f>
        <v>2510.143525312513</v>
      </c>
      <c r="G42" s="47">
        <f t="shared" si="1"/>
        <v>38029.31830486872</v>
      </c>
      <c r="H42" s="23"/>
      <c r="I42" s="12"/>
    </row>
    <row r="43" spans="2:9" s="10" customFormat="1" ht="16.5" thickBot="1">
      <c r="B43" s="14">
        <v>38961</v>
      </c>
      <c r="C43" s="24">
        <f>'Usage and Cost'!AI50</f>
        <v>22595.00404272842</v>
      </c>
      <c r="D43" s="25">
        <f>'Usage and Cost'!AI159</f>
        <v>7861.986407766989</v>
      </c>
      <c r="E43" s="25">
        <f>'Usage and Cost'!AI270</f>
        <v>16969.33221925134</v>
      </c>
      <c r="F43" s="25">
        <f>'Usage and Cost'!AE382</f>
        <v>4970.47550999995</v>
      </c>
      <c r="G43" s="24">
        <f t="shared" si="1"/>
        <v>52396.7981797467</v>
      </c>
      <c r="H43" s="34">
        <f>SUM(G41:G43)</f>
        <v>130043.91528189846</v>
      </c>
      <c r="I43" s="12"/>
    </row>
    <row r="44" spans="2:9" s="10" customFormat="1" ht="15.75">
      <c r="B44" s="9">
        <v>38991</v>
      </c>
      <c r="C44" s="18">
        <f>'Usage and Cost'!AI51</f>
        <v>23699.922840325547</v>
      </c>
      <c r="D44" s="19">
        <f>'Usage and Cost'!AI160</f>
        <v>12934.11611650485</v>
      </c>
      <c r="E44" s="19">
        <f>'Usage and Cost'!AI271</f>
        <v>18473.146390374342</v>
      </c>
      <c r="F44" s="19">
        <f>'Usage and Cost'!AE383</f>
        <v>23620.795347187504</v>
      </c>
      <c r="G44" s="18">
        <f t="shared" si="1"/>
        <v>78727.98069439224</v>
      </c>
      <c r="H44" s="20"/>
      <c r="I44" s="12"/>
    </row>
    <row r="45" spans="2:9" s="10" customFormat="1" ht="15.75">
      <c r="B45" s="46">
        <v>39022</v>
      </c>
      <c r="C45" s="21">
        <f>'Usage and Cost'!AI52</f>
        <v>27957.985773665347</v>
      </c>
      <c r="D45" s="22">
        <f>'Usage and Cost'!AI161</f>
        <v>18820.97475728155</v>
      </c>
      <c r="E45" s="22">
        <f>'Usage and Cost'!AI272</f>
        <v>21089.32553475937</v>
      </c>
      <c r="F45" s="22">
        <f>'Usage and Cost'!AE384</f>
        <v>47281.42364859377</v>
      </c>
      <c r="G45" s="47">
        <f t="shared" si="1"/>
        <v>115149.70971430004</v>
      </c>
      <c r="H45" s="23"/>
      <c r="I45" s="12"/>
    </row>
    <row r="46" spans="2:9" s="10" customFormat="1" ht="16.5" thickBot="1">
      <c r="B46" s="14">
        <v>39052</v>
      </c>
      <c r="C46" s="24">
        <f>'Usage and Cost'!AI53</f>
        <v>25532.98919581436</v>
      </c>
      <c r="D46" s="25">
        <f>'Usage and Cost'!AI162</f>
        <v>17301.83067961165</v>
      </c>
      <c r="E46" s="25">
        <f>'Usage and Cost'!AI273</f>
        <v>16962.355614973247</v>
      </c>
      <c r="F46" s="25">
        <f>'Usage and Cost'!AE385</f>
        <v>63330.49042031256</v>
      </c>
      <c r="G46" s="24">
        <f t="shared" si="1"/>
        <v>123127.66591071182</v>
      </c>
      <c r="H46" s="34">
        <f>SUM(G44:G46)</f>
        <v>317005.3563194041</v>
      </c>
      <c r="I46" s="12"/>
    </row>
    <row r="47" spans="2:9" s="10" customFormat="1" ht="15.75">
      <c r="B47" s="9">
        <v>39083</v>
      </c>
      <c r="C47" s="18">
        <f>'Usage and Cost'!AI54</f>
        <v>17565.52919581436</v>
      </c>
      <c r="D47" s="19">
        <f>'Usage and Cost'!AI163</f>
        <v>14367.493980582522</v>
      </c>
      <c r="E47" s="19">
        <f>'Usage and Cost'!AI274</f>
        <v>10622.90040106952</v>
      </c>
      <c r="F47" s="19">
        <f>'Usage and Cost'!AE386</f>
        <v>51768.92255390616</v>
      </c>
      <c r="G47" s="18">
        <f t="shared" si="1"/>
        <v>94324.84613137256</v>
      </c>
      <c r="H47" s="20"/>
      <c r="I47" s="12"/>
    </row>
    <row r="48" spans="2:9" s="10" customFormat="1" ht="15.75">
      <c r="B48" s="46">
        <v>39114</v>
      </c>
      <c r="C48" s="21">
        <f>'Usage and Cost'!AI55</f>
        <v>27335.89050770275</v>
      </c>
      <c r="D48" s="22">
        <f>'Usage and Cost'!AI164</f>
        <v>19406.20893203883</v>
      </c>
      <c r="E48" s="22">
        <f>'Usage and Cost'!AI275</f>
        <v>17163.39572192514</v>
      </c>
      <c r="F48" s="22">
        <f>'Usage and Cost'!AE387</f>
        <v>93515.50268156266</v>
      </c>
      <c r="G48" s="47">
        <f t="shared" si="1"/>
        <v>157420.9978432294</v>
      </c>
      <c r="H48" s="23"/>
      <c r="I48" s="12"/>
    </row>
    <row r="49" spans="2:9" s="10" customFormat="1" ht="16.5" thickBot="1">
      <c r="B49" s="14">
        <v>39142</v>
      </c>
      <c r="C49" s="24">
        <f>'Usage and Cost'!AI56</f>
        <v>16633.941481930047</v>
      </c>
      <c r="D49" s="25">
        <f>'Usage and Cost'!AI165</f>
        <v>14409.174757281551</v>
      </c>
      <c r="E49" s="25">
        <f>'Usage and Cost'!AI276</f>
        <v>13115.256684491944</v>
      </c>
      <c r="F49" s="25">
        <f>'Usage and Cost'!AE388</f>
        <v>68137.72732593733</v>
      </c>
      <c r="G49" s="24">
        <f t="shared" si="1"/>
        <v>112296.10024964088</v>
      </c>
      <c r="H49" s="34">
        <f>SUM(G47:G49)</f>
        <v>364041.9442242428</v>
      </c>
      <c r="I49" s="12"/>
    </row>
    <row r="50" spans="2:9" s="10" customFormat="1" ht="15.75">
      <c r="B50" s="9">
        <v>39173</v>
      </c>
      <c r="C50" s="18">
        <f>'Usage and Cost'!AI57</f>
        <v>25793.099597422737</v>
      </c>
      <c r="D50" s="19">
        <f>'Usage and Cost'!AI166</f>
        <v>9369.277514563108</v>
      </c>
      <c r="E50" s="19">
        <f>'Usage and Cost'!AI277</f>
        <v>17441.273395721975</v>
      </c>
      <c r="F50" s="19">
        <f>'Usage and Cost'!AE389</f>
        <v>58472.49783374992</v>
      </c>
      <c r="G50" s="18">
        <f t="shared" si="1"/>
        <v>111076.14834145774</v>
      </c>
      <c r="H50" s="20"/>
      <c r="I50" s="12"/>
    </row>
    <row r="51" spans="2:9" s="10" customFormat="1" ht="15.75">
      <c r="B51" s="46">
        <v>39203</v>
      </c>
      <c r="C51" s="21">
        <f>'Usage and Cost'!AI58</f>
        <v>18914.038889642477</v>
      </c>
      <c r="D51" s="22">
        <f>'Usage and Cost'!AI167</f>
        <v>3795.5657475728103</v>
      </c>
      <c r="E51" s="22">
        <f>'Usage and Cost'!AI278</f>
        <v>11153.312165775378</v>
      </c>
      <c r="F51" s="22">
        <f>'Usage and Cost'!AE390</f>
        <v>30361.045594687508</v>
      </c>
      <c r="G51" s="47">
        <f t="shared" si="1"/>
        <v>64223.96239767817</v>
      </c>
      <c r="H51" s="23"/>
      <c r="I51" s="12"/>
    </row>
    <row r="52" spans="2:9" s="10" customFormat="1" ht="16.5" thickBot="1">
      <c r="B52" s="14">
        <v>39234</v>
      </c>
      <c r="C52" s="24">
        <f>'Usage and Cost'!AI59</f>
        <v>14905.49155169073</v>
      </c>
      <c r="D52" s="25">
        <f>'Usage and Cost'!AI168</f>
        <v>1105.6126601941764</v>
      </c>
      <c r="E52" s="25">
        <f>'Usage and Cost'!AI279</f>
        <v>9611.577540106973</v>
      </c>
      <c r="F52" s="25">
        <f>'Usage and Cost'!AE391</f>
        <v>13729.93259859389</v>
      </c>
      <c r="G52" s="24">
        <f t="shared" si="1"/>
        <v>39352.61435058577</v>
      </c>
      <c r="H52" s="34">
        <f>SUM(G50:G52)</f>
        <v>214652.72508972167</v>
      </c>
      <c r="I52" s="49">
        <f>SUM(H41:H52)</f>
        <v>1025743.940915267</v>
      </c>
    </row>
    <row r="53" spans="2:8" s="10" customFormat="1" ht="15.75">
      <c r="B53" s="9">
        <v>39264</v>
      </c>
      <c r="C53" s="18">
        <f>'Usage and Cost'!AI60</f>
        <v>23560.569</v>
      </c>
      <c r="D53" s="19">
        <f>'Usage and Cost'!AI169</f>
        <v>3502.5614757281555</v>
      </c>
      <c r="E53" s="19">
        <f>'Usage and Cost'!AI280</f>
        <v>9097.252941176417</v>
      </c>
      <c r="F53" s="19">
        <f>'Usage and Cost'!AE392</f>
        <v>7956.562989374906</v>
      </c>
      <c r="G53" s="18">
        <f t="shared" si="1"/>
        <v>44116.94640627948</v>
      </c>
      <c r="H53" s="20"/>
    </row>
    <row r="54" spans="2:8" s="10" customFormat="1" ht="15.75">
      <c r="B54" s="46">
        <v>39295</v>
      </c>
      <c r="C54" s="21">
        <f>'Usage and Cost'!AI61</f>
        <v>21265.524</v>
      </c>
      <c r="D54" s="22">
        <f>'Usage and Cost'!AI170</f>
        <v>3875.194485436894</v>
      </c>
      <c r="E54" s="22">
        <f>'Usage and Cost'!AI281</f>
        <v>11271.821390374396</v>
      </c>
      <c r="F54" s="22">
        <f>'Usage and Cost'!AE393</f>
        <v>4373.167079531338</v>
      </c>
      <c r="G54" s="47">
        <f t="shared" si="1"/>
        <v>40785.70695534263</v>
      </c>
      <c r="H54" s="23"/>
    </row>
    <row r="55" spans="2:8" s="10" customFormat="1" ht="16.5" thickBot="1">
      <c r="B55" s="14">
        <v>39326</v>
      </c>
      <c r="C55" s="24">
        <f>'Usage and Cost'!AI62</f>
        <v>27149.283</v>
      </c>
      <c r="D55" s="25">
        <f>'Usage and Cost'!AI171</f>
        <v>8111.3154174757265</v>
      </c>
      <c r="E55" s="25">
        <f>'Usage and Cost'!AI282</f>
        <v>15360.403475935784</v>
      </c>
      <c r="F55" s="25">
        <f>'Usage and Cost'!AE394</f>
        <v>8323.962678281143</v>
      </c>
      <c r="G55" s="24">
        <f>SUM(C55:F55)</f>
        <v>58944.964571692646</v>
      </c>
      <c r="H55" s="34">
        <f>SUM(G53:G55)</f>
        <v>143847.61793331476</v>
      </c>
    </row>
    <row r="56" spans="2:8" s="10" customFormat="1" ht="15.75">
      <c r="B56" s="9">
        <v>39356</v>
      </c>
      <c r="C56" s="18">
        <f>'Usage and Cost'!AI63</f>
        <v>25119.323999999997</v>
      </c>
      <c r="D56" s="19">
        <f>'Usage and Cost'!AI172</f>
        <v>10803.547262135917</v>
      </c>
      <c r="E56" s="19">
        <f>'Usage and Cost'!AI283</f>
        <v>17006.914171123015</v>
      </c>
      <c r="F56" s="19">
        <f>'Usage and Cost'!AE395</f>
        <v>15789.421147500141</v>
      </c>
      <c r="G56" s="18">
        <f t="shared" si="1"/>
        <v>68719.20658075907</v>
      </c>
      <c r="H56" s="20"/>
    </row>
    <row r="57" spans="2:8" s="10" customFormat="1" ht="15.75">
      <c r="B57" s="46">
        <v>39387</v>
      </c>
      <c r="C57" s="21">
        <f>'Usage and Cost'!AI64</f>
        <v>30568.176</v>
      </c>
      <c r="D57" s="22">
        <f>'Usage and Cost'!AI173</f>
        <v>16184.87883495145</v>
      </c>
      <c r="E57" s="22">
        <f>'Usage and Cost'!AI284</f>
        <v>23302.260962566837</v>
      </c>
      <c r="F57" s="22">
        <f>'Usage and Cost'!AE396</f>
        <v>54778.49392640609</v>
      </c>
      <c r="G57" s="47">
        <f t="shared" si="1"/>
        <v>124833.80972392438</v>
      </c>
      <c r="H57" s="23"/>
    </row>
    <row r="58" spans="2:8" s="10" customFormat="1" ht="16.5" thickBot="1">
      <c r="B58" s="14">
        <v>39417</v>
      </c>
      <c r="C58" s="24">
        <f>'Usage and Cost'!AI65</f>
        <v>20637.063000000002</v>
      </c>
      <c r="D58" s="25">
        <f>'Usage and Cost'!AI174</f>
        <v>13574.448543689314</v>
      </c>
      <c r="E58" s="25">
        <f>'Usage and Cost'!AI285</f>
        <v>14690.39839572193</v>
      </c>
      <c r="F58" s="25">
        <f>'Usage and Cost'!AE397</f>
        <v>67023.57036375016</v>
      </c>
      <c r="G58" s="24">
        <f t="shared" si="1"/>
        <v>115925.4803031614</v>
      </c>
      <c r="H58" s="34">
        <f>SUM(G56:G58)</f>
        <v>309478.49660784483</v>
      </c>
    </row>
    <row r="59" spans="2:8" s="10" customFormat="1" ht="15.75">
      <c r="B59" s="9">
        <v>39448</v>
      </c>
      <c r="C59" s="18">
        <f>'Usage and Cost'!AI66</f>
        <v>17906.04</v>
      </c>
      <c r="D59" s="19">
        <f>'Usage and Cost'!AI175</f>
        <v>9354.64349514563</v>
      </c>
      <c r="E59" s="19">
        <f>'Usage and Cost'!AI286</f>
        <v>8545.121390374345</v>
      </c>
      <c r="F59" s="19">
        <f>'Usage and Cost'!AE398</f>
        <v>72307.01102624997</v>
      </c>
      <c r="G59" s="18">
        <f t="shared" si="1"/>
        <v>108112.81591176994</v>
      </c>
      <c r="H59" s="20"/>
    </row>
    <row r="60" spans="2:8" s="10" customFormat="1" ht="15.75">
      <c r="B60" s="46">
        <v>39479</v>
      </c>
      <c r="C60" s="21">
        <f>'Usage and Cost'!AI67</f>
        <v>25624.016999999996</v>
      </c>
      <c r="D60" s="22">
        <f>'Usage and Cost'!AI176</f>
        <v>16500.81165048543</v>
      </c>
      <c r="E60" s="22">
        <f>'Usage and Cost'!AI287</f>
        <v>24050.65267379677</v>
      </c>
      <c r="F60" s="22">
        <f>'Usage and Cost'!AE399</f>
        <v>97156.98758390623</v>
      </c>
      <c r="G60" s="47">
        <f t="shared" si="1"/>
        <v>163332.46890818843</v>
      </c>
      <c r="H60" s="23"/>
    </row>
    <row r="61" spans="2:8" s="10" customFormat="1" ht="16.5" thickBot="1">
      <c r="B61" s="14">
        <v>39508</v>
      </c>
      <c r="C61" s="24">
        <f>'Usage and Cost'!AI68</f>
        <v>25531.163999999997</v>
      </c>
      <c r="D61" s="25">
        <f>'Usage and Cost'!AI177</f>
        <v>13253.562097087366</v>
      </c>
      <c r="E61" s="25">
        <f>'Usage and Cost'!AI288</f>
        <v>16904.94304812833</v>
      </c>
      <c r="F61" s="25">
        <f>'Usage and Cost'!AE400</f>
        <v>94617.9276229689</v>
      </c>
      <c r="G61" s="24">
        <f t="shared" si="1"/>
        <v>150307.5967681846</v>
      </c>
      <c r="H61" s="34">
        <f>SUM(G59:G61)</f>
        <v>421752.88158814295</v>
      </c>
    </row>
    <row r="62" spans="2:8" s="10" customFormat="1" ht="15.75">
      <c r="B62" s="9">
        <v>39539</v>
      </c>
      <c r="C62" s="18">
        <f>'Usage and Cost'!AI69</f>
        <v>23379.372</v>
      </c>
      <c r="D62" s="19">
        <f>'Usage and Cost'!AI178</f>
        <v>9783.876737864075</v>
      </c>
      <c r="E62" s="19">
        <f>'Usage and Cost'!AI289</f>
        <v>16224.760427807509</v>
      </c>
      <c r="F62" s="19">
        <f>'Usage and Cost'!AE401</f>
        <v>63545.65295203124</v>
      </c>
      <c r="G62" s="18">
        <f t="shared" si="1"/>
        <v>112933.66211770283</v>
      </c>
      <c r="H62" s="20"/>
    </row>
    <row r="63" spans="2:8" s="10" customFormat="1" ht="15.75">
      <c r="B63" s="46">
        <v>39569</v>
      </c>
      <c r="C63" s="21">
        <f>'Usage and Cost'!AI70</f>
        <v>15141.483</v>
      </c>
      <c r="D63" s="22">
        <f>'Usage and Cost'!AI179</f>
        <v>4247.3499029126315</v>
      </c>
      <c r="E63" s="22">
        <f>'Usage and Cost'!AI290</f>
        <v>10264.391711229984</v>
      </c>
      <c r="F63" s="22">
        <f>'Usage and Cost'!AE402</f>
        <v>24945.975898593635</v>
      </c>
      <c r="G63" s="47">
        <f t="shared" si="1"/>
        <v>54599.20051273625</v>
      </c>
      <c r="H63" s="23"/>
    </row>
    <row r="64" spans="2:8" s="10" customFormat="1" ht="16.5" thickBot="1">
      <c r="B64" s="14">
        <v>39600</v>
      </c>
      <c r="C64" s="24">
        <f>'Usage and Cost'!AI71</f>
        <v>23447.016</v>
      </c>
      <c r="D64" s="25">
        <f>'Usage and Cost'!AI180</f>
        <v>2100.683883495141</v>
      </c>
      <c r="E64" s="25">
        <f>'Usage and Cost'!AI291</f>
        <v>11060.979946524052</v>
      </c>
      <c r="F64" s="25">
        <f>'Usage and Cost'!AE403</f>
        <v>28750.942532812467</v>
      </c>
      <c r="G64" s="24">
        <f t="shared" si="1"/>
        <v>65359.622362831666</v>
      </c>
      <c r="H64" s="34">
        <f>SUM(G62:G64)</f>
        <v>232892.48499327074</v>
      </c>
    </row>
    <row r="65" spans="2:8" s="10" customFormat="1" ht="15.75">
      <c r="B65" s="9">
        <v>39630</v>
      </c>
      <c r="C65" s="18">
        <f>'Usage and Cost'!AI72</f>
        <v>17151.718299999997</v>
      </c>
      <c r="D65" s="19">
        <f>'Usage and Cost'!AI181</f>
        <v>3435.0396500000033</v>
      </c>
      <c r="E65" s="19">
        <f>'Usage and Cost'!AI292</f>
        <v>7577.923262032032</v>
      </c>
      <c r="F65" s="19">
        <f>'Usage and Cost'!AE404</f>
        <v>5909.876492799901</v>
      </c>
      <c r="G65" s="18">
        <f aca="true" t="shared" si="2" ref="G65:G76">SUM(C65:F65)</f>
        <v>34074.55770483193</v>
      </c>
      <c r="H65" s="20"/>
    </row>
    <row r="66" spans="2:8" s="10" customFormat="1" ht="15.75">
      <c r="B66" s="46">
        <v>39661</v>
      </c>
      <c r="C66" s="21">
        <f>'Usage and Cost'!AI73</f>
        <v>19026.602249999996</v>
      </c>
      <c r="D66" s="22">
        <f>'Usage and Cost'!AI182</f>
        <v>3350.613549999997</v>
      </c>
      <c r="E66" s="22">
        <f>'Usage and Cost'!AI293</f>
        <v>11924.330213903768</v>
      </c>
      <c r="F66" s="22">
        <f>'Usage and Cost'!AE405</f>
        <v>4685.255391600267</v>
      </c>
      <c r="G66" s="47">
        <f t="shared" si="2"/>
        <v>38986.801405504026</v>
      </c>
      <c r="H66" s="23"/>
    </row>
    <row r="67" spans="2:8" s="10" customFormat="1" ht="16.5" thickBot="1">
      <c r="B67" s="14">
        <v>39692</v>
      </c>
      <c r="C67" s="24">
        <f>'Usage and Cost'!AI74</f>
        <v>14739.946049999997</v>
      </c>
      <c r="D67" s="25">
        <f>'Usage and Cost'!AI183</f>
        <v>5612.930350000006</v>
      </c>
      <c r="E67" s="25">
        <f>'Usage and Cost'!AI294</f>
        <v>15154.01544117649</v>
      </c>
      <c r="F67" s="25">
        <f>'Usage and Cost'!AE406</f>
        <v>5431.196605199841</v>
      </c>
      <c r="G67" s="24">
        <f t="shared" si="2"/>
        <v>40938.08844637633</v>
      </c>
      <c r="H67" s="34">
        <f>SUM(G65:G67)</f>
        <v>113999.44755671229</v>
      </c>
    </row>
    <row r="68" spans="2:8" s="10" customFormat="1" ht="15.75">
      <c r="B68" s="9">
        <v>39722</v>
      </c>
      <c r="C68" s="18">
        <f>'Usage and Cost'!AI75</f>
        <v>16873.780199999997</v>
      </c>
      <c r="D68" s="19">
        <f>'Usage and Cost'!AI184</f>
        <v>10834.430599999994</v>
      </c>
      <c r="E68" s="19">
        <f>'Usage and Cost'!AI295</f>
        <v>19563.209959892993</v>
      </c>
      <c r="F68" s="19">
        <f>'Usage and Cost'!AE407</f>
        <v>25683.019525066862</v>
      </c>
      <c r="G68" s="18">
        <f t="shared" si="2"/>
        <v>72954.44028495986</v>
      </c>
      <c r="H68" s="20"/>
    </row>
    <row r="69" spans="2:8" s="10" customFormat="1" ht="15.75">
      <c r="B69" s="46">
        <v>39753</v>
      </c>
      <c r="C69" s="21">
        <f>'Usage and Cost'!AI76</f>
        <v>19543.943199999998</v>
      </c>
      <c r="D69" s="22">
        <f>'Usage and Cost'!AI185</f>
        <v>14640.307299999999</v>
      </c>
      <c r="E69" s="22">
        <f>'Usage and Cost'!AI296</f>
        <v>21199.242713903746</v>
      </c>
      <c r="F69" s="22">
        <f>'Usage and Cost'!AE408</f>
        <v>56601.929527066444</v>
      </c>
      <c r="G69" s="47">
        <f t="shared" si="2"/>
        <v>111985.42274097019</v>
      </c>
      <c r="H69" s="23"/>
    </row>
    <row r="70" spans="2:8" s="10" customFormat="1" ht="16.5" thickBot="1">
      <c r="B70" s="14">
        <v>39783</v>
      </c>
      <c r="C70" s="24">
        <f>'Usage and Cost'!AI77</f>
        <v>14222.354599999999</v>
      </c>
      <c r="D70" s="25">
        <f>'Usage and Cost'!AI186</f>
        <v>12055.58225</v>
      </c>
      <c r="E70" s="25">
        <f>'Usage and Cost'!AI297</f>
        <v>15637.31517379681</v>
      </c>
      <c r="F70" s="25">
        <f>'Usage and Cost'!AE409</f>
        <v>68785.02081386668</v>
      </c>
      <c r="G70" s="24">
        <f t="shared" si="2"/>
        <v>110700.27283766348</v>
      </c>
      <c r="H70" s="34">
        <f>SUM(G68:G70)</f>
        <v>295640.13586359355</v>
      </c>
    </row>
    <row r="71" spans="2:8" s="10" customFormat="1" ht="15.75">
      <c r="B71" s="9">
        <v>39814</v>
      </c>
      <c r="C71" s="18">
        <f>'Usage and Cost'!AI78</f>
        <v>43819.47235</v>
      </c>
      <c r="D71" s="19">
        <f>'Usage and Cost'!AI187</f>
        <v>11490.7057</v>
      </c>
      <c r="E71" s="19">
        <f>'Usage and Cost'!AI298</f>
        <v>12506.56149732619</v>
      </c>
      <c r="F71" s="19">
        <f>'Usage and Cost'!AE410</f>
        <v>90423.97190800012</v>
      </c>
      <c r="G71" s="18">
        <f t="shared" si="2"/>
        <v>158240.7114553263</v>
      </c>
      <c r="H71" s="20"/>
    </row>
    <row r="72" spans="2:8" s="10" customFormat="1" ht="15.75">
      <c r="B72" s="46">
        <v>39845</v>
      </c>
      <c r="C72" s="21">
        <f>'Usage and Cost'!AI79</f>
        <v>25043.578849999994</v>
      </c>
      <c r="D72" s="22">
        <f>'Usage and Cost'!AI188</f>
        <v>15620.7743</v>
      </c>
      <c r="E72" s="22">
        <f>'Usage and Cost'!AI299</f>
        <v>19927.277005347623</v>
      </c>
      <c r="F72" s="22">
        <f>'Usage and Cost'!AE411</f>
        <v>94266.31267360006</v>
      </c>
      <c r="G72" s="47">
        <f t="shared" si="2"/>
        <v>154857.94282894768</v>
      </c>
      <c r="H72" s="23"/>
    </row>
    <row r="73" spans="2:8" s="10" customFormat="1" ht="16.5" thickBot="1">
      <c r="B73" s="14">
        <v>39873</v>
      </c>
      <c r="C73" s="24">
        <f>'Usage and Cost'!AI80</f>
        <v>19778.35275</v>
      </c>
      <c r="D73" s="25">
        <f>'Usage and Cost'!AI189</f>
        <v>11286.45075</v>
      </c>
      <c r="E73" s="25">
        <f>'Usage and Cost'!AI300</f>
        <v>14026.944117647094</v>
      </c>
      <c r="F73" s="25">
        <f>'Usage and Cost'!AE412</f>
        <v>70030.27168880006</v>
      </c>
      <c r="G73" s="24">
        <f t="shared" si="2"/>
        <v>115122.01930644715</v>
      </c>
      <c r="H73" s="34">
        <f>SUM(G71:G73)</f>
        <v>428220.6735907211</v>
      </c>
    </row>
    <row r="74" spans="2:8" s="10" customFormat="1" ht="15.75">
      <c r="B74" s="9">
        <v>39904</v>
      </c>
      <c r="C74" s="18">
        <f>'Usage and Cost'!AI81</f>
        <v>25014.637749999998</v>
      </c>
      <c r="D74" s="19">
        <f>'Usage and Cost'!AI190</f>
        <v>11445.627999999999</v>
      </c>
      <c r="E74" s="19">
        <f>'Usage and Cost'!AI301</f>
        <v>19482.690964795016</v>
      </c>
      <c r="F74" s="19">
        <f>'Usage and Cost'!AE413</f>
        <v>61613.781012799875</v>
      </c>
      <c r="G74" s="18">
        <f t="shared" si="2"/>
        <v>117556.73772759488</v>
      </c>
      <c r="H74" s="20"/>
    </row>
    <row r="75" spans="2:8" s="10" customFormat="1" ht="15.75">
      <c r="B75" s="46">
        <v>39934</v>
      </c>
      <c r="C75" s="21">
        <f>'Usage and Cost'!AI82</f>
        <v>15251.04955</v>
      </c>
      <c r="D75" s="22">
        <f>'Usage and Cost'!AI191</f>
        <v>3986.4577499999987</v>
      </c>
      <c r="E75" s="22">
        <f>'Usage and Cost'!AI302</f>
        <v>10539.761016414126</v>
      </c>
      <c r="F75" s="22">
        <f>'Usage and Cost'!AE414</f>
        <v>26119.82466319987</v>
      </c>
      <c r="G75" s="47">
        <f t="shared" si="2"/>
        <v>55897.092979614</v>
      </c>
      <c r="H75" s="23"/>
    </row>
    <row r="76" spans="2:8" s="10" customFormat="1" ht="16.5" thickBot="1">
      <c r="B76" s="14">
        <v>39965</v>
      </c>
      <c r="C76" s="24">
        <f>'Usage and Cost'!AI83</f>
        <v>17276.175049999998</v>
      </c>
      <c r="D76" s="25">
        <f>'Usage and Cost'!AI192</f>
        <v>2735.2543</v>
      </c>
      <c r="E76" s="25">
        <f>'Usage and Cost'!AI303</f>
        <v>9795.177279845046</v>
      </c>
      <c r="F76" s="25">
        <f>'Usage and Cost'!AE415</f>
        <v>21675.781187200173</v>
      </c>
      <c r="G76" s="24">
        <f t="shared" si="2"/>
        <v>51482.38781704522</v>
      </c>
      <c r="H76" s="34">
        <f>SUM(G74:G76)</f>
        <v>224936.2185242541</v>
      </c>
    </row>
    <row r="77" spans="2:8" s="10" customFormat="1" ht="15.75">
      <c r="B77" s="9">
        <v>39995</v>
      </c>
      <c r="C77" s="18">
        <f>'Usage and Cost'!AI84</f>
        <v>20153.483</v>
      </c>
      <c r="D77" s="19">
        <f>'Usage and Cost'!AI193</f>
        <v>3275.5319999999997</v>
      </c>
      <c r="E77" s="19">
        <f>'Usage and Cost'!AI304</f>
        <v>11013.247058823494</v>
      </c>
      <c r="F77" s="19">
        <f>'Usage and Cost'!AE416</f>
        <v>4461.711509062452</v>
      </c>
      <c r="G77" s="18">
        <f aca="true" t="shared" si="3" ref="G77:G88">SUM(C77:F77)</f>
        <v>38903.97356788594</v>
      </c>
      <c r="H77" s="20"/>
    </row>
    <row r="78" spans="2:8" s="10" customFormat="1" ht="15.75">
      <c r="B78" s="46">
        <v>40026</v>
      </c>
      <c r="C78" s="21">
        <f>'Usage and Cost'!AI85</f>
        <v>20356.947500000002</v>
      </c>
      <c r="D78" s="22">
        <f>'Usage and Cost'!AI194</f>
        <v>3118.024</v>
      </c>
      <c r="E78" s="22">
        <f>'Usage and Cost'!AI305</f>
        <v>10917.5</v>
      </c>
      <c r="F78" s="22">
        <f>'Usage and Cost'!AE417</f>
        <v>5843.978765625001</v>
      </c>
      <c r="G78" s="47">
        <f t="shared" si="3"/>
        <v>40236.450265625</v>
      </c>
      <c r="H78" s="23"/>
    </row>
    <row r="79" spans="2:8" s="10" customFormat="1" ht="16.5" thickBot="1">
      <c r="B79" s="14">
        <v>40057</v>
      </c>
      <c r="C79" s="24">
        <f>'Usage and Cost'!AI86</f>
        <v>22178.7355</v>
      </c>
      <c r="D79" s="25">
        <f>'Usage and Cost'!AI195</f>
        <v>4195.360000000001</v>
      </c>
      <c r="E79" s="25">
        <f>'Usage and Cost'!AI306</f>
        <v>13093.569518716575</v>
      </c>
      <c r="F79" s="25">
        <f>'Usage and Cost'!AE418</f>
        <v>8079.964921875</v>
      </c>
      <c r="G79" s="24">
        <f t="shared" si="3"/>
        <v>47547.62994059157</v>
      </c>
      <c r="H79" s="34">
        <f>SUM(G77:G79)</f>
        <v>126688.0537741025</v>
      </c>
    </row>
    <row r="80" spans="2:8" s="10" customFormat="1" ht="15.75">
      <c r="B80" s="9">
        <v>40087</v>
      </c>
      <c r="C80" s="18">
        <f>'Usage and Cost'!AI87</f>
        <v>27937.052000000003</v>
      </c>
      <c r="D80" s="19">
        <f>'Usage and Cost'!AI196</f>
        <v>7545.72</v>
      </c>
      <c r="E80" s="19">
        <f>'Usage and Cost'!AI307</f>
        <v>16991.44077540105</v>
      </c>
      <c r="F80" s="19">
        <f>'Usage and Cost'!AE419</f>
        <v>31142.74165406248</v>
      </c>
      <c r="G80" s="18">
        <f t="shared" si="3"/>
        <v>83616.95442946354</v>
      </c>
      <c r="H80" s="20"/>
    </row>
    <row r="81" spans="2:8" s="10" customFormat="1" ht="15.75">
      <c r="B81" s="46">
        <v>40118</v>
      </c>
      <c r="C81" s="21">
        <f>'Usage and Cost'!AI88</f>
        <v>25388.582000000002</v>
      </c>
      <c r="D81" s="22">
        <f>'Usage and Cost'!AI197</f>
        <v>8005.244</v>
      </c>
      <c r="E81" s="22">
        <f>'Usage and Cost'!AI308</f>
        <v>14685.125534759276</v>
      </c>
      <c r="F81" s="22">
        <f>'Usage and Cost'!AE420</f>
        <v>42853.52696624988</v>
      </c>
      <c r="G81" s="47">
        <f t="shared" si="3"/>
        <v>90932.47850100916</v>
      </c>
      <c r="H81" s="23"/>
    </row>
    <row r="82" spans="2:8" s="10" customFormat="1" ht="16.5" thickBot="1">
      <c r="B82" s="14">
        <v>40148</v>
      </c>
      <c r="C82" s="24">
        <f>'Usage and Cost'!AI89</f>
        <v>21569.396</v>
      </c>
      <c r="D82" s="25">
        <f>'Usage and Cost'!AI198</f>
        <v>6474.416</v>
      </c>
      <c r="E82" s="25">
        <f>'Usage and Cost'!AI309</f>
        <v>14772.380614973421</v>
      </c>
      <c r="F82" s="25">
        <f>'Usage and Cost'!AE421</f>
        <v>59520.21349312507</v>
      </c>
      <c r="G82" s="24">
        <f t="shared" si="3"/>
        <v>102336.40610809848</v>
      </c>
      <c r="H82" s="34">
        <f>SUM(G80:G82)</f>
        <v>276885.8390385712</v>
      </c>
    </row>
    <row r="83" spans="2:8" s="10" customFormat="1" ht="15.75">
      <c r="B83" s="9">
        <v>40179</v>
      </c>
      <c r="C83" s="18">
        <f>'Usage and Cost'!AI90</f>
        <v>18614.4985</v>
      </c>
      <c r="D83" s="19">
        <f>'Usage and Cost'!AI199</f>
        <v>4105.400000000001</v>
      </c>
      <c r="E83" s="19">
        <f>'Usage and Cost'!AI310</f>
        <v>9784.616978609602</v>
      </c>
      <c r="F83" s="19">
        <f>'Usage and Cost'!AE422</f>
        <v>80206.9624846877</v>
      </c>
      <c r="G83" s="18">
        <f t="shared" si="3"/>
        <v>112711.47796329731</v>
      </c>
      <c r="H83" s="20"/>
    </row>
    <row r="84" spans="2:8" s="10" customFormat="1" ht="15.75">
      <c r="B84" s="46">
        <v>40210</v>
      </c>
      <c r="C84" s="21">
        <f>'Usage and Cost'!AI91</f>
        <v>24326.4135</v>
      </c>
      <c r="D84" s="22">
        <f>'Usage and Cost'!AI200</f>
        <v>9358.18</v>
      </c>
      <c r="E84" s="22">
        <f>'Usage and Cost'!AI311</f>
        <v>17651.639037433157</v>
      </c>
      <c r="F84" s="22">
        <f>'Usage and Cost'!AE423</f>
        <v>78185.85158999983</v>
      </c>
      <c r="G84" s="47">
        <f t="shared" si="3"/>
        <v>129522.08412743299</v>
      </c>
      <c r="H84" s="23"/>
    </row>
    <row r="85" spans="2:8" s="10" customFormat="1" ht="16.5" thickBot="1">
      <c r="B85" s="14">
        <v>40238</v>
      </c>
      <c r="C85" s="24">
        <f>'Usage and Cost'!AI92</f>
        <v>20105.6025</v>
      </c>
      <c r="D85" s="25">
        <f>'Usage and Cost'!AI201</f>
        <v>6653.608</v>
      </c>
      <c r="E85" s="25">
        <f>'Usage and Cost'!AI312</f>
        <v>11600.573529411758</v>
      </c>
      <c r="F85" s="25">
        <f>'Usage and Cost'!AE424</f>
        <v>57210.11225015627</v>
      </c>
      <c r="G85" s="24">
        <f t="shared" si="3"/>
        <v>95569.89627956803</v>
      </c>
      <c r="H85" s="34">
        <f>SUM(G83:G85)</f>
        <v>337803.4583702983</v>
      </c>
    </row>
    <row r="86" spans="2:8" s="10" customFormat="1" ht="15.75">
      <c r="B86" s="9">
        <v>40269</v>
      </c>
      <c r="C86" s="18">
        <f>'Usage and Cost'!AI93</f>
        <v>25204.693</v>
      </c>
      <c r="D86" s="19">
        <f>'Usage and Cost'!AI202</f>
        <v>9657.44</v>
      </c>
      <c r="E86" s="19">
        <f>'Usage and Cost'!AI313</f>
        <v>18753.048663101574</v>
      </c>
      <c r="F86" s="19">
        <f>'Usage and Cost'!AE425</f>
        <v>53606.581586250046</v>
      </c>
      <c r="G86" s="18">
        <f t="shared" si="3"/>
        <v>107221.76324935161</v>
      </c>
      <c r="H86" s="20"/>
    </row>
    <row r="87" spans="2:8" s="10" customFormat="1" ht="15.75">
      <c r="B87" s="46">
        <v>40299</v>
      </c>
      <c r="C87" s="21">
        <f>'Usage and Cost'!AI94</f>
        <v>16578.2946</v>
      </c>
      <c r="D87" s="22">
        <f>'Usage and Cost'!AI203</f>
        <v>3967.392</v>
      </c>
      <c r="E87" s="22">
        <f>'Usage and Cost'!AI314</f>
        <v>11309.564037433063</v>
      </c>
      <c r="F87" s="22">
        <f>'Usage and Cost'!AE426</f>
        <v>29289.346432499777</v>
      </c>
      <c r="G87" s="47">
        <f t="shared" si="3"/>
        <v>61144.59706993284</v>
      </c>
      <c r="H87" s="23"/>
    </row>
    <row r="88" spans="2:8" s="10" customFormat="1" ht="16.5" thickBot="1">
      <c r="B88" s="14">
        <v>40330</v>
      </c>
      <c r="C88" s="24">
        <f>'Usage and Cost'!AI95</f>
        <v>18799.3106</v>
      </c>
      <c r="D88" s="25">
        <f>'Usage and Cost'!AI204</f>
        <v>2193.984</v>
      </c>
      <c r="E88" s="25">
        <f>'Usage and Cost'!AI315</f>
        <v>9599.704144385089</v>
      </c>
      <c r="F88" s="25">
        <f>'Usage and Cost'!AE427</f>
        <v>19167.08055281273</v>
      </c>
      <c r="G88" s="24">
        <f t="shared" si="3"/>
        <v>49760.07929719782</v>
      </c>
      <c r="H88" s="34">
        <f>SUM(G86:G88)</f>
        <v>218126.4396164823</v>
      </c>
    </row>
    <row r="89" spans="2:8" s="10" customFormat="1" ht="15.75">
      <c r="B89" s="9">
        <v>40360</v>
      </c>
      <c r="C89" s="18">
        <f>'Usage and Cost'!AI96</f>
        <v>23597.35488</v>
      </c>
      <c r="D89" s="19">
        <f>'Usage and Cost'!AI205</f>
        <v>2196.0448999999994</v>
      </c>
      <c r="E89" s="19">
        <f>'Usage and Cost'!AI316</f>
        <v>14705.768048128346</v>
      </c>
      <c r="F89" s="19">
        <f>'Usage and Cost'!AE428</f>
        <v>2490.450269999869</v>
      </c>
      <c r="G89" s="18">
        <f aca="true" t="shared" si="4" ref="G89:G94">SUM(C89:F89)</f>
        <v>42989.618098128216</v>
      </c>
      <c r="H89" s="20"/>
    </row>
    <row r="90" spans="2:8" s="10" customFormat="1" ht="15.75">
      <c r="B90" s="46">
        <v>40391</v>
      </c>
      <c r="C90" s="21">
        <f>'Usage and Cost'!AI97</f>
        <v>22157.8896</v>
      </c>
      <c r="D90" s="22">
        <f>'Usage and Cost'!AI206</f>
        <v>2718.779</v>
      </c>
      <c r="E90" s="22">
        <f>'Usage and Cost'!AI317</f>
        <v>16190.632352941255</v>
      </c>
      <c r="F90" s="22">
        <f>'Usage and Cost'!AE429</f>
        <v>3885.5138437500473</v>
      </c>
      <c r="G90" s="47">
        <f t="shared" si="4"/>
        <v>44952.8147966913</v>
      </c>
      <c r="H90" s="23"/>
    </row>
    <row r="91" spans="2:8" s="10" customFormat="1" ht="16.5" thickBot="1">
      <c r="B91" s="14">
        <v>40422</v>
      </c>
      <c r="C91" s="24">
        <f>'Usage and Cost'!AI98</f>
        <v>25878.47328</v>
      </c>
      <c r="D91" s="25">
        <f>'Usage and Cost'!AI207</f>
        <v>3488.611</v>
      </c>
      <c r="E91" s="25">
        <f>'Usage and Cost'!AI318</f>
        <v>20527.90307486622</v>
      </c>
      <c r="F91" s="25">
        <f>'Usage and Cost'!AE430</f>
        <v>5314.251009374958</v>
      </c>
      <c r="G91" s="24">
        <f t="shared" si="4"/>
        <v>55209.23836424117</v>
      </c>
      <c r="H91" s="34">
        <f>SUM(G89:G91)</f>
        <v>143151.67125906068</v>
      </c>
    </row>
    <row r="92" spans="2:8" s="10" customFormat="1" ht="15.75">
      <c r="B92" s="9">
        <v>40452</v>
      </c>
      <c r="C92" s="18">
        <f>'Usage and Cost'!AI99</f>
        <v>15647.494719999999</v>
      </c>
      <c r="D92" s="19">
        <f>'Usage and Cost'!AI208</f>
        <v>6033.8886999999995</v>
      </c>
      <c r="E92" s="19">
        <f>'Usage and Cost'!AI319</f>
        <v>24245.36965240637</v>
      </c>
      <c r="F92" s="19">
        <f>'Usage and Cost'!AE431</f>
        <v>17539.496349375026</v>
      </c>
      <c r="G92" s="18">
        <f t="shared" si="4"/>
        <v>63466.249421781395</v>
      </c>
      <c r="H92" s="20"/>
    </row>
    <row r="93" spans="2:8" s="10" customFormat="1" ht="15.75">
      <c r="B93" s="46">
        <v>40483</v>
      </c>
      <c r="C93" s="21">
        <f>'Usage and Cost'!AI100</f>
        <v>27911.96672</v>
      </c>
      <c r="D93" s="22">
        <f>'Usage and Cost'!AI209</f>
        <v>7054.494299999999</v>
      </c>
      <c r="E93" s="22">
        <f>'Usage and Cost'!AI320</f>
        <v>30603.68917112313</v>
      </c>
      <c r="F93" s="22">
        <f>'Usage and Cost'!AE432</f>
        <v>32109.798538124927</v>
      </c>
      <c r="G93" s="47">
        <f t="shared" si="4"/>
        <v>97679.94872924806</v>
      </c>
      <c r="H93" s="23"/>
    </row>
    <row r="94" spans="2:8" s="10" customFormat="1" ht="16.5" thickBot="1">
      <c r="B94" s="14">
        <v>40513</v>
      </c>
      <c r="C94" s="24">
        <f>'Usage and Cost'!AI101</f>
        <v>23211.81456</v>
      </c>
      <c r="D94" s="25">
        <f>'Usage and Cost'!AI210</f>
        <v>5823.258699999999</v>
      </c>
      <c r="E94" s="25">
        <f>'Usage and Cost'!AI321</f>
        <v>25449.322860962424</v>
      </c>
      <c r="F94" s="25">
        <f>'Usage and Cost'!AE433</f>
        <v>47874.93176812504</v>
      </c>
      <c r="G94" s="24">
        <f t="shared" si="4"/>
        <v>102359.32788908746</v>
      </c>
      <c r="H94" s="34" t="s">
        <v>142</v>
      </c>
    </row>
    <row r="95" spans="2:8" s="44" customFormat="1" ht="15.75">
      <c r="B95" s="444" t="s">
        <v>11</v>
      </c>
      <c r="C95" s="445">
        <f>SUM(C83:C94)</f>
        <v>262033.80645999996</v>
      </c>
      <c r="D95" s="445">
        <f>SUM(D83:D94)</f>
        <v>63251.0806</v>
      </c>
      <c r="E95" s="445">
        <f>SUM(E83:E94)</f>
        <v>210421.831550802</v>
      </c>
      <c r="F95" s="445">
        <f>SUM(F83:F94)</f>
        <v>426880.37667515624</v>
      </c>
      <c r="G95" s="445">
        <f>SUM(G83:G94)</f>
        <v>962587.0952859583</v>
      </c>
      <c r="H95" s="445">
        <f>SUM(H83:H94)</f>
        <v>699081.5692458414</v>
      </c>
    </row>
    <row r="96" spans="2:8" s="44" customFormat="1" ht="15.75">
      <c r="B96" s="443"/>
      <c r="C96" s="442"/>
      <c r="D96" s="442"/>
      <c r="E96" s="442"/>
      <c r="F96" s="442"/>
      <c r="G96" s="442"/>
      <c r="H96" s="442"/>
    </row>
    <row r="97" spans="2:7" s="3" customFormat="1" ht="15">
      <c r="B97" s="16" t="s">
        <v>6</v>
      </c>
      <c r="C97" s="15"/>
      <c r="D97" s="15"/>
      <c r="E97" s="15"/>
      <c r="F97" s="15"/>
      <c r="G97" s="113"/>
    </row>
    <row r="98" spans="2:3" s="3" customFormat="1" ht="15.75">
      <c r="B98" s="44" t="s">
        <v>69</v>
      </c>
      <c r="C98" s="3" t="s">
        <v>109</v>
      </c>
    </row>
    <row r="99" ht="14.25">
      <c r="C99" s="45" t="s">
        <v>71</v>
      </c>
    </row>
    <row r="100" ht="14.25">
      <c r="C100" s="45" t="s">
        <v>70</v>
      </c>
    </row>
    <row r="101" ht="14.25">
      <c r="C101" s="45"/>
    </row>
  </sheetData>
  <sheetProtection/>
  <printOptions horizontalCentered="1"/>
  <pageMargins left="0.75" right="0.75" top="0.75" bottom="0.75" header="0.5" footer="0.5"/>
  <pageSetup fitToHeight="1" fitToWidth="1" horizontalDpi="300" verticalDpi="300" orientation="landscape" scale="79" r:id="rId2"/>
  <headerFooter alignWithMargins="0">
    <oddFooter>&amp;L&amp;D&amp;Rpage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01"/>
  <sheetViews>
    <sheetView view="pageBreakPreview" zoomScale="75" zoomScaleNormal="75" zoomScaleSheetLayoutView="75" zoomScalePageLayoutView="0" workbookViewId="0" topLeftCell="A1">
      <pane xSplit="2" ySplit="4" topLeftCell="C7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95" sqref="B95"/>
    </sheetView>
  </sheetViews>
  <sheetFormatPr defaultColWidth="9.140625" defaultRowHeight="12.75"/>
  <cols>
    <col min="1" max="1" width="2.8515625" style="0" customWidth="1"/>
    <col min="2" max="2" width="14.00390625" style="0" customWidth="1"/>
    <col min="3" max="6" width="19.421875" style="0" customWidth="1"/>
    <col min="7" max="7" width="19.8515625" style="0" customWidth="1"/>
    <col min="8" max="8" width="19.421875" style="0" customWidth="1"/>
    <col min="9" max="9" width="20.00390625" style="0" customWidth="1"/>
    <col min="10" max="10" width="11.28125" style="0" bestFit="1" customWidth="1"/>
    <col min="11" max="11" width="12.8515625" style="0" customWidth="1"/>
  </cols>
  <sheetData>
    <row r="1" s="2" customFormat="1" ht="19.5" customHeight="1">
      <c r="B1" s="1" t="s">
        <v>112</v>
      </c>
    </row>
    <row r="2" s="2" customFormat="1" ht="19.5" customHeight="1">
      <c r="B2" s="1" t="s">
        <v>4</v>
      </c>
    </row>
    <row r="3" s="2" customFormat="1" ht="19.5" customHeight="1" thickBot="1">
      <c r="B3" s="3" t="s">
        <v>39</v>
      </c>
    </row>
    <row r="4" spans="2:8" s="8" customFormat="1" ht="19.5" customHeight="1" thickBot="1">
      <c r="B4" s="4"/>
      <c r="C4" s="5" t="s">
        <v>0</v>
      </c>
      <c r="D4" s="5" t="s">
        <v>1</v>
      </c>
      <c r="E4" s="6" t="s">
        <v>3</v>
      </c>
      <c r="F4" s="5" t="s">
        <v>62</v>
      </c>
      <c r="G4" s="5" t="s">
        <v>2</v>
      </c>
      <c r="H4" s="7" t="s">
        <v>5</v>
      </c>
    </row>
    <row r="5" spans="2:10" s="12" customFormat="1" ht="15.75">
      <c r="B5" s="9">
        <v>37803</v>
      </c>
      <c r="C5" s="18">
        <f>'Usage and Cost'!AK12</f>
        <v>8301.024</v>
      </c>
      <c r="D5" s="19">
        <f>'Usage and Cost'!AK121</f>
        <v>1214.4835</v>
      </c>
      <c r="E5" s="19">
        <f>'Usage and Cost'!AK232</f>
        <v>1956.121</v>
      </c>
      <c r="F5" s="19"/>
      <c r="G5" s="18">
        <f aca="true" t="shared" si="0" ref="G5:G36">SUM(C5:F5)</f>
        <v>11471.628499999999</v>
      </c>
      <c r="H5" s="20"/>
      <c r="I5" s="10"/>
      <c r="J5" s="11"/>
    </row>
    <row r="6" spans="2:8" s="12" customFormat="1" ht="15.75">
      <c r="B6" s="13">
        <v>37834</v>
      </c>
      <c r="C6" s="21">
        <f>'Usage and Cost'!AK13</f>
        <v>8167.948000000001</v>
      </c>
      <c r="D6" s="22">
        <f>'Usage and Cost'!AK122</f>
        <v>904.1949999999999</v>
      </c>
      <c r="E6" s="22">
        <f>'Usage and Cost'!AK233</f>
        <v>2317.369</v>
      </c>
      <c r="F6" s="22"/>
      <c r="G6" s="21">
        <f t="shared" si="0"/>
        <v>11389.512000000002</v>
      </c>
      <c r="H6" s="23"/>
    </row>
    <row r="7" spans="2:8" s="12" customFormat="1" ht="16.5" thickBot="1">
      <c r="B7" s="14">
        <v>37865</v>
      </c>
      <c r="C7" s="24">
        <f>'Usage and Cost'!AK14</f>
        <v>10832.964000000002</v>
      </c>
      <c r="D7" s="25">
        <f>'Usage and Cost'!AK123</f>
        <v>1443.4595</v>
      </c>
      <c r="E7" s="25">
        <f>'Usage and Cost'!AK234</f>
        <v>3534.1315000000004</v>
      </c>
      <c r="F7" s="25"/>
      <c r="G7" s="24">
        <f t="shared" si="0"/>
        <v>15810.555</v>
      </c>
      <c r="H7" s="34">
        <f>SUM(G5:G7)</f>
        <v>38671.6955</v>
      </c>
    </row>
    <row r="8" spans="2:8" s="12" customFormat="1" ht="15.75">
      <c r="B8" s="9">
        <v>37895</v>
      </c>
      <c r="C8" s="18">
        <f>'Usage and Cost'!AK15</f>
        <v>9742.896</v>
      </c>
      <c r="D8" s="19">
        <f>'Usage and Cost'!AK124</f>
        <v>2624.1169999999997</v>
      </c>
      <c r="E8" s="19">
        <f>'Usage and Cost'!AK235</f>
        <v>3923.3890000000006</v>
      </c>
      <c r="F8" s="19"/>
      <c r="G8" s="18">
        <f t="shared" si="0"/>
        <v>16290.402000000002</v>
      </c>
      <c r="H8" s="20"/>
    </row>
    <row r="9" spans="2:8" s="12" customFormat="1" ht="15.75">
      <c r="B9" s="13">
        <v>37926</v>
      </c>
      <c r="C9" s="21">
        <f>'Usage and Cost'!AK16</f>
        <v>9353.016</v>
      </c>
      <c r="D9" s="22">
        <f>'Usage and Cost'!AK125</f>
        <v>3467.8154999999997</v>
      </c>
      <c r="E9" s="22">
        <f>'Usage and Cost'!AK236</f>
        <v>3490.0405000000005</v>
      </c>
      <c r="F9" s="22"/>
      <c r="G9" s="21">
        <f t="shared" si="0"/>
        <v>16310.872000000001</v>
      </c>
      <c r="H9" s="23"/>
    </row>
    <row r="10" spans="2:8" s="12" customFormat="1" ht="16.5" thickBot="1">
      <c r="B10" s="14">
        <v>37956</v>
      </c>
      <c r="C10" s="24">
        <f>'Usage and Cost'!AK17</f>
        <v>12670.948</v>
      </c>
      <c r="D10" s="25">
        <f>'Usage and Cost'!AK126</f>
        <v>7131.4315</v>
      </c>
      <c r="E10" s="25">
        <f>'Usage and Cost'!AK237</f>
        <v>3380.1680000000006</v>
      </c>
      <c r="F10" s="25"/>
      <c r="G10" s="24">
        <f t="shared" si="0"/>
        <v>23182.5475</v>
      </c>
      <c r="H10" s="34">
        <f>SUM(G8:G10)</f>
        <v>55783.821500000005</v>
      </c>
    </row>
    <row r="11" spans="2:8" s="12" customFormat="1" ht="15.75">
      <c r="B11" s="9">
        <v>37987</v>
      </c>
      <c r="C11" s="18">
        <f>'Usage and Cost'!AK18</f>
        <v>11955.18</v>
      </c>
      <c r="D11" s="19">
        <f>'Usage and Cost'!AK127</f>
        <v>8728.409</v>
      </c>
      <c r="E11" s="19">
        <f>'Usage and Cost'!AK238</f>
        <v>2637.7565000000004</v>
      </c>
      <c r="F11" s="19"/>
      <c r="G11" s="18">
        <f t="shared" si="0"/>
        <v>23321.3455</v>
      </c>
      <c r="H11" s="20"/>
    </row>
    <row r="12" spans="2:8" s="12" customFormat="1" ht="15.75">
      <c r="B12" s="13">
        <v>38018</v>
      </c>
      <c r="C12" s="21">
        <f>'Usage and Cost'!AK19</f>
        <v>9966.412</v>
      </c>
      <c r="D12" s="22">
        <f>'Usage and Cost'!AK128</f>
        <v>6429.5419999999995</v>
      </c>
      <c r="E12" s="22">
        <f>'Usage and Cost'!AK239</f>
        <v>2441.548</v>
      </c>
      <c r="F12" s="22"/>
      <c r="G12" s="21">
        <f t="shared" si="0"/>
        <v>18837.501999999997</v>
      </c>
      <c r="H12" s="23"/>
    </row>
    <row r="13" spans="2:8" s="12" customFormat="1" ht="16.5" thickBot="1">
      <c r="B13" s="14">
        <v>38047</v>
      </c>
      <c r="C13" s="24">
        <f>'Usage and Cost'!AK20</f>
        <v>9041.948</v>
      </c>
      <c r="D13" s="25">
        <f>'Usage and Cost'!AK129</f>
        <v>5067.3949999999995</v>
      </c>
      <c r="E13" s="25">
        <f>'Usage and Cost'!AK240</f>
        <v>2417.1595</v>
      </c>
      <c r="F13" s="25"/>
      <c r="G13" s="24">
        <f t="shared" si="0"/>
        <v>16526.502500000002</v>
      </c>
      <c r="H13" s="34">
        <f>SUM(G11:G13)</f>
        <v>58685.35</v>
      </c>
    </row>
    <row r="14" spans="2:8" s="12" customFormat="1" ht="15.75">
      <c r="B14" s="9">
        <v>38078</v>
      </c>
      <c r="C14" s="18">
        <f>'Usage and Cost'!AK21</f>
        <v>10435.636</v>
      </c>
      <c r="D14" s="19">
        <f>'Usage and Cost'!AK130</f>
        <v>4239.959</v>
      </c>
      <c r="E14" s="19">
        <f>'Usage and Cost'!AK241</f>
        <v>3140.5075</v>
      </c>
      <c r="F14" s="19"/>
      <c r="G14" s="18">
        <f t="shared" si="0"/>
        <v>17816.1025</v>
      </c>
      <c r="H14" s="20"/>
    </row>
    <row r="15" spans="2:8" s="12" customFormat="1" ht="15.75">
      <c r="B15" s="46">
        <v>38108</v>
      </c>
      <c r="C15" s="21">
        <f>'Usage and Cost'!AK22</f>
        <v>6257.688</v>
      </c>
      <c r="D15" s="22">
        <f>'Usage and Cost'!AK131</f>
        <v>1590.4724999999999</v>
      </c>
      <c r="E15" s="22">
        <f>'Usage and Cost'!AK242</f>
        <v>1362.9160000000002</v>
      </c>
      <c r="F15" s="48"/>
      <c r="G15" s="47">
        <f t="shared" si="0"/>
        <v>9211.0765</v>
      </c>
      <c r="H15" s="23"/>
    </row>
    <row r="16" spans="2:9" s="43" customFormat="1" ht="16.5" thickBot="1">
      <c r="B16" s="14">
        <v>38139</v>
      </c>
      <c r="C16" s="24">
        <f>'Usage and Cost'!AK23</f>
        <v>9962.9046</v>
      </c>
      <c r="D16" s="25">
        <f>'Usage and Cost'!AK132</f>
        <v>1046.004</v>
      </c>
      <c r="E16" s="25">
        <f>'Usage and Cost'!AK243</f>
        <v>1110.4755</v>
      </c>
      <c r="F16" s="25"/>
      <c r="G16" s="24">
        <f t="shared" si="0"/>
        <v>12119.3841</v>
      </c>
      <c r="H16" s="34">
        <f>SUM(G14:G16)</f>
        <v>39146.5631</v>
      </c>
      <c r="I16" s="42"/>
    </row>
    <row r="17" spans="2:8" s="43" customFormat="1" ht="15.75">
      <c r="B17" s="9">
        <v>38169</v>
      </c>
      <c r="C17" s="18">
        <f>'Usage and Cost'!AK24</f>
        <v>9030.608999999999</v>
      </c>
      <c r="D17" s="19">
        <f>'Usage and Cost'!AK133</f>
        <v>885.2378640776699</v>
      </c>
      <c r="E17" s="19">
        <f>'Usage and Cost'!AK244</f>
        <v>2704.7825000000003</v>
      </c>
      <c r="F17" s="19"/>
      <c r="G17" s="18">
        <f t="shared" si="0"/>
        <v>12620.629364077668</v>
      </c>
      <c r="H17" s="20"/>
    </row>
    <row r="18" spans="2:8" s="43" customFormat="1" ht="15.75">
      <c r="B18" s="46">
        <v>38200</v>
      </c>
      <c r="C18" s="21">
        <f>'Usage and Cost'!AK25</f>
        <v>9155.835000000001</v>
      </c>
      <c r="D18" s="22">
        <f>'Usage and Cost'!AK134</f>
        <v>678.1718446601942</v>
      </c>
      <c r="E18" s="22">
        <f>'Usage and Cost'!AK245</f>
        <v>3145.0915</v>
      </c>
      <c r="F18" s="48"/>
      <c r="G18" s="47">
        <f t="shared" si="0"/>
        <v>12979.098344660195</v>
      </c>
      <c r="H18" s="23"/>
    </row>
    <row r="19" spans="2:8" s="43" customFormat="1" ht="16.5" thickBot="1">
      <c r="B19" s="14">
        <v>38231</v>
      </c>
      <c r="C19" s="24">
        <f>'Usage and Cost'!AK26</f>
        <v>12823.758</v>
      </c>
      <c r="D19" s="25">
        <f>'Usage and Cost'!AK135</f>
        <v>1506.4359223300971</v>
      </c>
      <c r="E19" s="25">
        <f>'Usage and Cost'!AK246</f>
        <v>6660.388</v>
      </c>
      <c r="F19" s="25"/>
      <c r="G19" s="24">
        <f t="shared" si="0"/>
        <v>20990.581922330097</v>
      </c>
      <c r="H19" s="34">
        <f>SUM(G17:G19)</f>
        <v>46590.309631067954</v>
      </c>
    </row>
    <row r="20" spans="2:8" s="43" customFormat="1" ht="15.75">
      <c r="B20" s="9">
        <v>38261</v>
      </c>
      <c r="C20" s="18">
        <f>'Usage and Cost'!AK27</f>
        <v>11077.641</v>
      </c>
      <c r="D20" s="19">
        <f>'Usage and Cost'!AK136</f>
        <v>2359.204854368932</v>
      </c>
      <c r="E20" s="19">
        <f>'Usage and Cost'!AK247</f>
        <v>7065.3910000000005</v>
      </c>
      <c r="F20" s="19"/>
      <c r="G20" s="18">
        <f t="shared" si="0"/>
        <v>20502.236854368934</v>
      </c>
      <c r="H20" s="20"/>
    </row>
    <row r="21" spans="2:8" s="43" customFormat="1" ht="15.75">
      <c r="B21" s="46">
        <v>38292</v>
      </c>
      <c r="C21" s="21">
        <f>'Usage and Cost'!AK28</f>
        <v>10684.4265</v>
      </c>
      <c r="D21" s="22">
        <f>'Usage and Cost'!AK137</f>
        <v>4410.873786407773</v>
      </c>
      <c r="E21" s="22">
        <f>'Usage and Cost'!AK248</f>
        <v>5512.97475</v>
      </c>
      <c r="F21" s="48"/>
      <c r="G21" s="47">
        <f t="shared" si="0"/>
        <v>20608.275036407773</v>
      </c>
      <c r="H21" s="23"/>
    </row>
    <row r="22" spans="2:8" s="43" customFormat="1" ht="16.5" thickBot="1">
      <c r="B22" s="14">
        <v>38322</v>
      </c>
      <c r="C22" s="24">
        <f>'Usage and Cost'!AK29</f>
        <v>13435.1865</v>
      </c>
      <c r="D22" s="25">
        <f>'Usage and Cost'!AK138</f>
        <v>6616.310679611644</v>
      </c>
      <c r="E22" s="25">
        <f>'Usage and Cost'!AK249</f>
        <v>5512.97475</v>
      </c>
      <c r="F22" s="25"/>
      <c r="G22" s="24">
        <f t="shared" si="0"/>
        <v>25564.471929611645</v>
      </c>
      <c r="H22" s="34">
        <f>SUM(G20:G22)</f>
        <v>66674.98382038836</v>
      </c>
    </row>
    <row r="23" spans="2:8" s="43" customFormat="1" ht="15.75">
      <c r="B23" s="9">
        <v>38353</v>
      </c>
      <c r="C23" s="18">
        <f>'Usage and Cost'!AK30</f>
        <v>9711.171</v>
      </c>
      <c r="D23" s="19">
        <f>'Usage and Cost'!AK139</f>
        <v>7262.626213592233</v>
      </c>
      <c r="E23" s="19">
        <f>'Usage and Cost'!AK250</f>
        <v>5629.9735</v>
      </c>
      <c r="F23" s="19"/>
      <c r="G23" s="18">
        <f t="shared" si="0"/>
        <v>22603.770713592232</v>
      </c>
      <c r="H23" s="20"/>
    </row>
    <row r="24" spans="2:8" s="43" customFormat="1" ht="15.75">
      <c r="B24" s="46">
        <v>38384</v>
      </c>
      <c r="C24" s="21">
        <f>'Usage and Cost'!AK31</f>
        <v>9924.363000000001</v>
      </c>
      <c r="D24" s="22">
        <f>'Usage and Cost'!AK140</f>
        <v>5438.913689320389</v>
      </c>
      <c r="E24" s="22">
        <f>'Usage and Cost'!AK251</f>
        <v>4339.17725</v>
      </c>
      <c r="F24" s="48"/>
      <c r="G24" s="47">
        <f t="shared" si="0"/>
        <v>19702.45393932039</v>
      </c>
      <c r="H24" s="23"/>
    </row>
    <row r="25" spans="2:8" s="43" customFormat="1" ht="16.5" thickBot="1">
      <c r="B25" s="14">
        <v>38412</v>
      </c>
      <c r="C25" s="24">
        <f>'Usage and Cost'!AK32</f>
        <v>9486.963</v>
      </c>
      <c r="D25" s="25">
        <f>'Usage and Cost'!AK141</f>
        <v>4450.020291262135</v>
      </c>
      <c r="E25" s="25">
        <f>'Usage and Cost'!AK252</f>
        <v>4339.17725</v>
      </c>
      <c r="F25" s="25"/>
      <c r="G25" s="24">
        <f t="shared" si="0"/>
        <v>18276.160541262136</v>
      </c>
      <c r="H25" s="34">
        <f>SUM(G23:G25)</f>
        <v>60582.385194174756</v>
      </c>
    </row>
    <row r="26" spans="2:8" s="10" customFormat="1" ht="15.75">
      <c r="B26" s="9">
        <v>38443</v>
      </c>
      <c r="C26" s="18">
        <f>'Usage and Cost'!AK33</f>
        <v>9337.275</v>
      </c>
      <c r="D26" s="19">
        <f>'Usage and Cost'!AK142</f>
        <v>4156.635922330097</v>
      </c>
      <c r="E26" s="19">
        <f>'Usage and Cost'!AK253</f>
        <v>6472.174</v>
      </c>
      <c r="F26" s="19"/>
      <c r="G26" s="18">
        <f t="shared" si="0"/>
        <v>19966.084922330097</v>
      </c>
      <c r="H26" s="20"/>
    </row>
    <row r="27" spans="2:8" s="10" customFormat="1" ht="15.75">
      <c r="B27" s="46">
        <v>38473</v>
      </c>
      <c r="C27" s="21">
        <f>'Usage and Cost'!AK34</f>
        <v>7267.887000000001</v>
      </c>
      <c r="D27" s="22">
        <f>'Usage and Cost'!AK143</f>
        <v>2199.3106796116504</v>
      </c>
      <c r="E27" s="22">
        <f>'Usage and Cost'!AK254</f>
        <v>4272.4705</v>
      </c>
      <c r="F27" s="48"/>
      <c r="G27" s="47">
        <f t="shared" si="0"/>
        <v>13739.66817961165</v>
      </c>
      <c r="H27" s="23"/>
    </row>
    <row r="28" spans="2:8" s="10" customFormat="1" ht="16.5" thickBot="1">
      <c r="B28" s="14">
        <v>38504</v>
      </c>
      <c r="C28" s="24">
        <f>'Usage and Cost'!AK35</f>
        <v>6512.076</v>
      </c>
      <c r="D28" s="25">
        <f>'Usage and Cost'!AK144</f>
        <v>782.9300970873786</v>
      </c>
      <c r="E28" s="25">
        <f>'Usage and Cost'!AK255</f>
        <v>3975.1635</v>
      </c>
      <c r="F28" s="25"/>
      <c r="G28" s="24">
        <f t="shared" si="0"/>
        <v>11270.169597087379</v>
      </c>
      <c r="H28" s="34">
        <f>SUM(G26:G28)</f>
        <v>44975.92269902913</v>
      </c>
    </row>
    <row r="29" spans="2:8" s="43" customFormat="1" ht="15.75">
      <c r="B29" s="9">
        <v>38534</v>
      </c>
      <c r="C29" s="18">
        <f>'Usage and Cost'!AK36</f>
        <v>8678.84</v>
      </c>
      <c r="D29" s="19">
        <f>'Usage and Cost'!AK145</f>
        <v>984.8205825242719</v>
      </c>
      <c r="E29" s="19">
        <f>'Usage and Cost'!AK256</f>
        <v>3224.6070000000004</v>
      </c>
      <c r="F29" s="19"/>
      <c r="G29" s="18">
        <f t="shared" si="0"/>
        <v>12888.267582524271</v>
      </c>
      <c r="H29" s="20"/>
    </row>
    <row r="30" spans="2:8" s="43" customFormat="1" ht="15.75">
      <c r="B30" s="46">
        <v>38565</v>
      </c>
      <c r="C30" s="21">
        <f>'Usage and Cost'!AK37</f>
        <v>10329.115000000002</v>
      </c>
      <c r="D30" s="22">
        <f>'Usage and Cost'!AK146</f>
        <v>888.2561165048544</v>
      </c>
      <c r="E30" s="22">
        <f>'Usage and Cost'!AK257</f>
        <v>2624.0180000000005</v>
      </c>
      <c r="F30" s="48"/>
      <c r="G30" s="47">
        <f t="shared" si="0"/>
        <v>13841.389116504855</v>
      </c>
      <c r="H30" s="23"/>
    </row>
    <row r="31" spans="2:8" s="43" customFormat="1" ht="16.5" thickBot="1">
      <c r="B31" s="14">
        <v>38596</v>
      </c>
      <c r="C31" s="24">
        <f>'Usage and Cost'!AK38</f>
        <v>13986.325</v>
      </c>
      <c r="D31" s="25">
        <f>'Usage and Cost'!AK147</f>
        <v>2312.068349514563</v>
      </c>
      <c r="E31" s="25">
        <f>'Usage and Cost'!AK258</f>
        <v>4270.1885</v>
      </c>
      <c r="F31" s="25"/>
      <c r="G31" s="24">
        <f t="shared" si="0"/>
        <v>20568.581849514565</v>
      </c>
      <c r="H31" s="34">
        <f>SUM(G29:G31)</f>
        <v>47298.23854854369</v>
      </c>
    </row>
    <row r="32" spans="2:8" s="43" customFormat="1" ht="15.75">
      <c r="B32" s="9">
        <v>38626</v>
      </c>
      <c r="C32" s="18">
        <f>'Usage and Cost'!AK39</f>
        <v>12561.045</v>
      </c>
      <c r="D32" s="19">
        <f>'Usage and Cost'!AK148</f>
        <v>2273.7165048543693</v>
      </c>
      <c r="E32" s="19">
        <f>'Usage and Cost'!AK259</f>
        <v>3921.6140000000005</v>
      </c>
      <c r="F32" s="19"/>
      <c r="G32" s="18">
        <f t="shared" si="0"/>
        <v>18756.37550485437</v>
      </c>
      <c r="H32" s="20"/>
    </row>
    <row r="33" spans="2:8" s="43" customFormat="1" ht="15.75">
      <c r="B33" s="46">
        <v>38657</v>
      </c>
      <c r="C33" s="21">
        <f>'Usage and Cost'!AK40</f>
        <v>10113.130000000001</v>
      </c>
      <c r="D33" s="22">
        <f>'Usage and Cost'!AK149</f>
        <v>3477.0056310679615</v>
      </c>
      <c r="E33" s="22">
        <f>'Usage and Cost'!AK260</f>
        <v>3195.6745000000005</v>
      </c>
      <c r="F33" s="48"/>
      <c r="G33" s="47">
        <f t="shared" si="0"/>
        <v>16785.810131067963</v>
      </c>
      <c r="H33" s="23"/>
    </row>
    <row r="34" spans="2:8" s="43" customFormat="1" ht="16.5" thickBot="1">
      <c r="B34" s="14">
        <v>38687</v>
      </c>
      <c r="C34" s="24">
        <f>'Usage and Cost'!AK41</f>
        <v>9077.320000000002</v>
      </c>
      <c r="D34" s="25">
        <f>'Usage and Cost'!AK150</f>
        <v>5613.751262135923</v>
      </c>
      <c r="E34" s="25">
        <f>'Usage and Cost'!AK261</f>
        <v>2041.0015000000003</v>
      </c>
      <c r="F34" s="25"/>
      <c r="G34" s="24">
        <f t="shared" si="0"/>
        <v>16732.072762135926</v>
      </c>
      <c r="H34" s="34">
        <f>SUM(G32:G34)</f>
        <v>52274.25839805826</v>
      </c>
    </row>
    <row r="35" spans="2:8" s="43" customFormat="1" ht="15.75">
      <c r="B35" s="9">
        <v>38718</v>
      </c>
      <c r="C35" s="18">
        <f>'Usage and Cost'!AK42</f>
        <v>13170.750000000002</v>
      </c>
      <c r="D35" s="19">
        <f>'Usage and Cost'!AK151</f>
        <v>8044.299417475729</v>
      </c>
      <c r="E35" s="19">
        <f>'Usage and Cost'!AK262</f>
        <v>2866.1635</v>
      </c>
      <c r="F35" s="19"/>
      <c r="G35" s="18">
        <f t="shared" si="0"/>
        <v>24081.21291747573</v>
      </c>
      <c r="H35" s="20"/>
    </row>
    <row r="36" spans="2:8" s="43" customFormat="1" ht="15.75">
      <c r="B36" s="46">
        <v>38749</v>
      </c>
      <c r="C36" s="21">
        <f>'Usage and Cost'!AK43</f>
        <v>10764.400000000001</v>
      </c>
      <c r="D36" s="22">
        <f>'Usage and Cost'!AK152</f>
        <v>6243.132427184466</v>
      </c>
      <c r="E36" s="22">
        <f>'Usage and Cost'!AK263</f>
        <v>2730.447</v>
      </c>
      <c r="F36" s="48"/>
      <c r="G36" s="47">
        <f t="shared" si="0"/>
        <v>19737.979427184466</v>
      </c>
      <c r="H36" s="23"/>
    </row>
    <row r="37" spans="2:8" s="43" customFormat="1" ht="16.5" thickBot="1">
      <c r="B37" s="14">
        <v>38777</v>
      </c>
      <c r="C37" s="24">
        <f>'Usage and Cost'!AK44</f>
        <v>9719.495</v>
      </c>
      <c r="D37" s="25">
        <f>'Usage and Cost'!AK153</f>
        <v>6139.034563106797</v>
      </c>
      <c r="E37" s="25">
        <f>'Usage and Cost'!AK264</f>
        <v>2368.1695000000004</v>
      </c>
      <c r="F37" s="25"/>
      <c r="G37" s="24">
        <f aca="true" t="shared" si="1" ref="G37:G52">SUM(C37:F37)</f>
        <v>18226.699063106797</v>
      </c>
      <c r="H37" s="34">
        <f>SUM(G35:G37)</f>
        <v>62045.89140776699</v>
      </c>
    </row>
    <row r="38" spans="2:8" s="43" customFormat="1" ht="15.75">
      <c r="B38" s="9">
        <v>38808</v>
      </c>
      <c r="C38" s="18">
        <f>'Usage and Cost'!AK45</f>
        <v>11865.150000000001</v>
      </c>
      <c r="D38" s="19">
        <f>'Usage and Cost'!AK154</f>
        <v>5260.366407766991</v>
      </c>
      <c r="E38" s="19">
        <f>'Usage and Cost'!AK265</f>
        <v>3287.4775000000004</v>
      </c>
      <c r="F38" s="19"/>
      <c r="G38" s="18">
        <f t="shared" si="1"/>
        <v>20412.99390776699</v>
      </c>
      <c r="H38" s="20"/>
    </row>
    <row r="39" spans="2:8" s="43" customFormat="1" ht="15.75">
      <c r="B39" s="46">
        <v>38838</v>
      </c>
      <c r="C39" s="21">
        <f>'Usage and Cost'!AK46</f>
        <v>9847.25</v>
      </c>
      <c r="D39" s="22">
        <f>'Usage and Cost'!AK155</f>
        <v>2373.0203883495146</v>
      </c>
      <c r="E39" s="22">
        <f>'Usage and Cost'!AK266</f>
        <v>2779.9695</v>
      </c>
      <c r="F39" s="48"/>
      <c r="G39" s="47">
        <f t="shared" si="1"/>
        <v>15000.239888349515</v>
      </c>
      <c r="H39" s="23"/>
    </row>
    <row r="40" spans="2:8" s="10" customFormat="1" ht="16.5" thickBot="1">
      <c r="B40" s="14">
        <v>38869</v>
      </c>
      <c r="C40" s="24">
        <f>'Usage and Cost'!AK47</f>
        <v>8050.35</v>
      </c>
      <c r="D40" s="25">
        <f>'Usage and Cost'!AK156</f>
        <v>913.5957281553399</v>
      </c>
      <c r="E40" s="25">
        <f>'Usage and Cost'!AK267</f>
        <v>1791.3655</v>
      </c>
      <c r="F40" s="25"/>
      <c r="G40" s="24">
        <f t="shared" si="1"/>
        <v>10755.31122815534</v>
      </c>
      <c r="H40" s="34">
        <f>SUM(G38:G40)</f>
        <v>46168.54502427184</v>
      </c>
    </row>
    <row r="41" spans="2:9" s="10" customFormat="1" ht="15.75">
      <c r="B41" s="9">
        <v>38899</v>
      </c>
      <c r="C41" s="18">
        <f>'Usage and Cost'!AK48</f>
        <v>19033.86</v>
      </c>
      <c r="D41" s="19">
        <f>'Usage and Cost'!AK157</f>
        <v>1667.2310679611649</v>
      </c>
      <c r="E41" s="19">
        <f>'Usage and Cost'!AK268</f>
        <v>2416.4495</v>
      </c>
      <c r="F41" s="19"/>
      <c r="G41" s="18">
        <f t="shared" si="1"/>
        <v>23117.540567961165</v>
      </c>
      <c r="H41" s="20"/>
      <c r="I41" s="12"/>
    </row>
    <row r="42" spans="2:9" s="10" customFormat="1" ht="15.75">
      <c r="B42" s="46">
        <v>38930</v>
      </c>
      <c r="C42" s="21">
        <f>'Usage and Cost'!AK49</f>
        <v>19320.960000000003</v>
      </c>
      <c r="D42" s="22">
        <f>'Usage and Cost'!AK158</f>
        <v>1635.1689320388348</v>
      </c>
      <c r="E42" s="22">
        <f>'Usage and Cost'!AK269</f>
        <v>2137.2775</v>
      </c>
      <c r="F42" s="48"/>
      <c r="G42" s="47">
        <f t="shared" si="1"/>
        <v>23093.40643203884</v>
      </c>
      <c r="H42" s="23"/>
      <c r="I42" s="12"/>
    </row>
    <row r="43" spans="2:9" s="10" customFormat="1" ht="16.5" thickBot="1">
      <c r="B43" s="14">
        <v>38961</v>
      </c>
      <c r="C43" s="24">
        <f>'Usage and Cost'!AK50</f>
        <v>17472.210000000003</v>
      </c>
      <c r="D43" s="25">
        <f>'Usage and Cost'!AK159</f>
        <v>2285.429126213592</v>
      </c>
      <c r="E43" s="25">
        <f>'Usage and Cost'!AK270</f>
        <v>3326.2080000000005</v>
      </c>
      <c r="F43" s="25"/>
      <c r="G43" s="24">
        <f t="shared" si="1"/>
        <v>23083.847126213594</v>
      </c>
      <c r="H43" s="34">
        <f>SUM(G41:G43)</f>
        <v>69294.79412621359</v>
      </c>
      <c r="I43" s="12"/>
    </row>
    <row r="44" spans="2:9" s="10" customFormat="1" ht="15.75">
      <c r="B44" s="9">
        <v>38991</v>
      </c>
      <c r="C44" s="18">
        <f>'Usage and Cost'!AK51</f>
        <v>14326.29</v>
      </c>
      <c r="D44" s="19">
        <f>'Usage and Cost'!AK160</f>
        <v>5087.8601941747565</v>
      </c>
      <c r="E44" s="19">
        <f>'Usage and Cost'!AK271</f>
        <v>3236.6415</v>
      </c>
      <c r="F44" s="19"/>
      <c r="G44" s="18">
        <f t="shared" si="1"/>
        <v>22650.791694174757</v>
      </c>
      <c r="H44" s="20"/>
      <c r="I44" s="12"/>
    </row>
    <row r="45" spans="2:9" s="10" customFormat="1" ht="15.75">
      <c r="B45" s="46">
        <v>39022</v>
      </c>
      <c r="C45" s="21">
        <f>'Usage and Cost'!AK52</f>
        <v>15380.730000000001</v>
      </c>
      <c r="D45" s="22">
        <f>'Usage and Cost'!AK161</f>
        <v>4420.566990291261</v>
      </c>
      <c r="E45" s="22">
        <f>'Usage and Cost'!AK272</f>
        <v>2814.7595</v>
      </c>
      <c r="F45" s="48"/>
      <c r="G45" s="47">
        <f t="shared" si="1"/>
        <v>22616.056490291263</v>
      </c>
      <c r="H45" s="23"/>
      <c r="I45" s="12"/>
    </row>
    <row r="46" spans="2:9" s="10" customFormat="1" ht="16.5" thickBot="1">
      <c r="B46" s="14">
        <v>39052</v>
      </c>
      <c r="C46" s="24">
        <f>'Usage and Cost'!AK53</f>
        <v>14063.550000000001</v>
      </c>
      <c r="D46" s="25">
        <f>'Usage and Cost'!AK162</f>
        <v>7021.607766990291</v>
      </c>
      <c r="E46" s="25">
        <f>'Usage and Cost'!AK273</f>
        <v>2274.57375</v>
      </c>
      <c r="F46" s="25"/>
      <c r="G46" s="24">
        <f t="shared" si="1"/>
        <v>23359.73151699029</v>
      </c>
      <c r="H46" s="34">
        <f>SUM(G44:G46)</f>
        <v>68626.57970145631</v>
      </c>
      <c r="I46" s="12"/>
    </row>
    <row r="47" spans="2:9" s="10" customFormat="1" ht="15.75">
      <c r="B47" s="9">
        <v>39083</v>
      </c>
      <c r="C47" s="18">
        <f>'Usage and Cost'!AK54</f>
        <v>14063.550000000001</v>
      </c>
      <c r="D47" s="19">
        <f>'Usage and Cost'!AK163</f>
        <v>7021.607766990291</v>
      </c>
      <c r="E47" s="19">
        <f>'Usage and Cost'!AK274</f>
        <v>2274.57375</v>
      </c>
      <c r="F47" s="19"/>
      <c r="G47" s="18">
        <f t="shared" si="1"/>
        <v>23359.73151699029</v>
      </c>
      <c r="H47" s="20"/>
      <c r="I47" s="12"/>
    </row>
    <row r="48" spans="2:9" s="10" customFormat="1" ht="15.75">
      <c r="B48" s="46">
        <v>39114</v>
      </c>
      <c r="C48" s="21">
        <f>'Usage and Cost'!AK55</f>
        <v>16332.510000000002</v>
      </c>
      <c r="D48" s="22">
        <f>'Usage and Cost'!AK164</f>
        <v>15675.378640776697</v>
      </c>
      <c r="E48" s="22">
        <f>'Usage and Cost'!AK275</f>
        <v>3861.7610000000004</v>
      </c>
      <c r="F48" s="48"/>
      <c r="G48" s="47">
        <f t="shared" si="1"/>
        <v>35869.6496407767</v>
      </c>
      <c r="H48" s="23"/>
      <c r="I48" s="12"/>
    </row>
    <row r="49" spans="2:9" s="10" customFormat="1" ht="16.5" thickBot="1">
      <c r="B49" s="14">
        <v>39142</v>
      </c>
      <c r="C49" s="24">
        <f>'Usage and Cost'!AK56</f>
        <v>12526.260000000002</v>
      </c>
      <c r="D49" s="25">
        <f>'Usage and Cost'!AK165</f>
        <v>9389.196116504852</v>
      </c>
      <c r="E49" s="25">
        <f>'Usage and Cost'!AK276</f>
        <v>1278.0355000000002</v>
      </c>
      <c r="F49" s="25"/>
      <c r="G49" s="24">
        <f t="shared" si="1"/>
        <v>23193.491616504856</v>
      </c>
      <c r="H49" s="34">
        <f>SUM(G47:G49)</f>
        <v>82422.87277427185</v>
      </c>
      <c r="I49" s="12"/>
    </row>
    <row r="50" spans="2:9" s="10" customFormat="1" ht="15.75">
      <c r="B50" s="9">
        <v>39173</v>
      </c>
      <c r="C50" s="18">
        <f>'Usage and Cost'!AK57</f>
        <v>10148.115000000002</v>
      </c>
      <c r="D50" s="19">
        <f>'Usage and Cost'!AK166</f>
        <v>8104.706796116504</v>
      </c>
      <c r="E50" s="19">
        <f>'Usage and Cost'!AK277</f>
        <v>3139.5490000000004</v>
      </c>
      <c r="F50" s="19"/>
      <c r="G50" s="18">
        <f t="shared" si="1"/>
        <v>21392.370796116506</v>
      </c>
      <c r="H50" s="20"/>
      <c r="I50" s="12"/>
    </row>
    <row r="51" spans="2:9" s="10" customFormat="1" ht="15.75">
      <c r="B51" s="46">
        <v>39203</v>
      </c>
      <c r="C51" s="21">
        <f>'Usage and Cost'!AK58</f>
        <v>5265.936000000001</v>
      </c>
      <c r="D51" s="22">
        <f>'Usage and Cost'!AK167</f>
        <v>2809.4446601941745</v>
      </c>
      <c r="E51" s="22">
        <f>'Usage and Cost'!AK278</f>
        <v>1564.1655</v>
      </c>
      <c r="F51" s="48"/>
      <c r="G51" s="47">
        <f t="shared" si="1"/>
        <v>9639.546160194175</v>
      </c>
      <c r="H51" s="23"/>
      <c r="I51" s="12"/>
    </row>
    <row r="52" spans="2:9" s="10" customFormat="1" ht="16.5" thickBot="1">
      <c r="B52" s="14">
        <v>39234</v>
      </c>
      <c r="C52" s="24">
        <f>'Usage and Cost'!AK59</f>
        <v>5254.365000000001</v>
      </c>
      <c r="D52" s="25">
        <f>'Usage and Cost'!AK168</f>
        <v>1640.1786407766988</v>
      </c>
      <c r="E52" s="25">
        <f>'Usage and Cost'!AK279</f>
        <v>1442.507</v>
      </c>
      <c r="F52" s="25"/>
      <c r="G52" s="24">
        <f t="shared" si="1"/>
        <v>8337.050640776699</v>
      </c>
      <c r="H52" s="34">
        <f>SUM(G50:G52)</f>
        <v>39368.96759708738</v>
      </c>
      <c r="I52" s="49">
        <f>SUM(H41:H52)</f>
        <v>259713.2141990291</v>
      </c>
    </row>
    <row r="53" spans="2:8" s="10" customFormat="1" ht="15.75">
      <c r="B53" s="9">
        <v>39264</v>
      </c>
      <c r="C53" s="18">
        <f>'Usage and Cost'!AK60</f>
        <v>11968.289999999999</v>
      </c>
      <c r="D53" s="19">
        <f>'Usage and Cost'!AK169</f>
        <v>2011.4407766990284</v>
      </c>
      <c r="E53" s="19">
        <f>'Usage and Cost'!AK280</f>
        <v>3230.2794</v>
      </c>
      <c r="F53" s="19"/>
      <c r="G53" s="18">
        <f aca="true" t="shared" si="2" ref="G53:G64">SUM(C53:F53)</f>
        <v>17210.010176699026</v>
      </c>
      <c r="H53" s="20"/>
    </row>
    <row r="54" spans="2:8" s="10" customFormat="1" ht="15.75">
      <c r="B54" s="46">
        <v>39295</v>
      </c>
      <c r="C54" s="21">
        <f>'Usage and Cost'!AK61</f>
        <v>10183.32</v>
      </c>
      <c r="D54" s="22">
        <f>'Usage and Cost'!AK170</f>
        <v>1722.6640776699023</v>
      </c>
      <c r="E54" s="22">
        <f>'Usage and Cost'!AK281</f>
        <v>1997.2986</v>
      </c>
      <c r="F54" s="48"/>
      <c r="G54" s="47">
        <f t="shared" si="2"/>
        <v>13903.282677669902</v>
      </c>
      <c r="H54" s="23"/>
    </row>
    <row r="55" spans="2:8" s="10" customFormat="1" ht="16.5" thickBot="1">
      <c r="B55" s="14">
        <v>39326</v>
      </c>
      <c r="C55" s="24">
        <f>'Usage and Cost'!AK62</f>
        <v>14136.3</v>
      </c>
      <c r="D55" s="25">
        <f>'Usage and Cost'!AK171</f>
        <v>4001.778640776698</v>
      </c>
      <c r="E55" s="25">
        <f>'Usage and Cost'!AK282</f>
        <v>3505.1454</v>
      </c>
      <c r="F55" s="25"/>
      <c r="G55" s="24">
        <f t="shared" si="2"/>
        <v>21643.2240407767</v>
      </c>
      <c r="H55" s="34">
        <f>SUM(G53:G55)</f>
        <v>52756.51689514563</v>
      </c>
    </row>
    <row r="56" spans="2:8" s="10" customFormat="1" ht="15.75">
      <c r="B56" s="9">
        <v>39356</v>
      </c>
      <c r="C56" s="18">
        <f>'Usage and Cost'!AK63</f>
        <v>12327.57</v>
      </c>
      <c r="D56" s="19">
        <f>'Usage and Cost'!AK172</f>
        <v>2442.384466019417</v>
      </c>
      <c r="E56" s="19">
        <f>'Usage and Cost'!AK283</f>
        <v>3312.0072</v>
      </c>
      <c r="F56" s="19"/>
      <c r="G56" s="18">
        <f t="shared" si="2"/>
        <v>18081.961666019415</v>
      </c>
      <c r="H56" s="20"/>
    </row>
    <row r="57" spans="2:8" s="10" customFormat="1" ht="15.75">
      <c r="B57" s="46">
        <v>39387</v>
      </c>
      <c r="C57" s="21">
        <f>'Usage and Cost'!AK64</f>
        <v>12642.84</v>
      </c>
      <c r="D57" s="22">
        <f>'Usage and Cost'!AK173</f>
        <v>5886.601941747571</v>
      </c>
      <c r="E57" s="22">
        <f>'Usage and Cost'!AK284</f>
        <v>3938.8554</v>
      </c>
      <c r="F57" s="48"/>
      <c r="G57" s="47">
        <f t="shared" si="2"/>
        <v>22468.297341747573</v>
      </c>
      <c r="H57" s="23"/>
    </row>
    <row r="58" spans="2:8" s="10" customFormat="1" ht="16.5" thickBot="1">
      <c r="B58" s="14">
        <v>39417</v>
      </c>
      <c r="C58" s="24">
        <f>'Usage and Cost'!AK65</f>
        <v>10437.75</v>
      </c>
      <c r="D58" s="25">
        <f>'Usage and Cost'!AK174</f>
        <v>10394.85048543689</v>
      </c>
      <c r="E58" s="25">
        <f>'Usage and Cost'!AK285</f>
        <v>2959.476</v>
      </c>
      <c r="F58" s="25"/>
      <c r="G58" s="24">
        <f t="shared" si="2"/>
        <v>23792.076485436886</v>
      </c>
      <c r="H58" s="34">
        <f>SUM(G56:G58)</f>
        <v>64342.33549320388</v>
      </c>
    </row>
    <row r="59" spans="2:8" s="10" customFormat="1" ht="15.75">
      <c r="B59" s="9">
        <v>39448</v>
      </c>
      <c r="C59" s="18">
        <f>'Usage and Cost'!AK66</f>
        <v>9765.09</v>
      </c>
      <c r="D59" s="19">
        <f>'Usage and Cost'!AK175</f>
        <v>8297.887378640775</v>
      </c>
      <c r="E59" s="19">
        <f>'Usage and Cost'!AK286</f>
        <v>1733.376</v>
      </c>
      <c r="F59" s="19"/>
      <c r="G59" s="18">
        <f t="shared" si="2"/>
        <v>19796.353378640775</v>
      </c>
      <c r="H59" s="20"/>
    </row>
    <row r="60" spans="2:8" s="10" customFormat="1" ht="15.75">
      <c r="B60" s="46">
        <v>39479</v>
      </c>
      <c r="C60" s="21">
        <f>'Usage and Cost'!AK67</f>
        <v>12310.38</v>
      </c>
      <c r="D60" s="22">
        <f>'Usage and Cost'!AK176</f>
        <v>14684.85048543689</v>
      </c>
      <c r="E60" s="22">
        <f>'Usage and Cost'!AK287</f>
        <v>2652.9693</v>
      </c>
      <c r="F60" s="48"/>
      <c r="G60" s="47">
        <f t="shared" si="2"/>
        <v>29648.19978543689</v>
      </c>
      <c r="H60" s="23"/>
    </row>
    <row r="61" spans="2:8" s="10" customFormat="1" ht="16.5" thickBot="1">
      <c r="B61" s="14">
        <v>39508</v>
      </c>
      <c r="C61" s="24">
        <f>'Usage and Cost'!AK68</f>
        <v>11250</v>
      </c>
      <c r="D61" s="25">
        <f>'Usage and Cost'!AK177</f>
        <v>14738.163106796112</v>
      </c>
      <c r="E61" s="25">
        <f>'Usage and Cost'!AK288</f>
        <v>5365.7613</v>
      </c>
      <c r="F61" s="25"/>
      <c r="G61" s="24">
        <f t="shared" si="2"/>
        <v>31353.92440679611</v>
      </c>
      <c r="H61" s="34">
        <f>SUM(G59:G61)</f>
        <v>80798.47757087377</v>
      </c>
    </row>
    <row r="62" spans="2:8" s="10" customFormat="1" ht="15.75">
      <c r="B62" s="9">
        <v>39539</v>
      </c>
      <c r="C62" s="18">
        <f>'Usage and Cost'!AK69</f>
        <v>9307.529999999999</v>
      </c>
      <c r="D62" s="19">
        <f>'Usage and Cost'!AK178</f>
        <v>7246.073786407765</v>
      </c>
      <c r="E62" s="19">
        <f>'Usage and Cost'!AK289</f>
        <v>1178.7396</v>
      </c>
      <c r="F62" s="19"/>
      <c r="G62" s="18">
        <f t="shared" si="2"/>
        <v>17732.343386407763</v>
      </c>
      <c r="H62" s="20"/>
    </row>
    <row r="63" spans="2:8" s="10" customFormat="1" ht="15.75">
      <c r="B63" s="46">
        <v>39569</v>
      </c>
      <c r="C63" s="21">
        <f>'Usage and Cost'!AK70</f>
        <v>8205.57</v>
      </c>
      <c r="D63" s="22">
        <f>'Usage and Cost'!AK179</f>
        <v>5114.679611650484</v>
      </c>
      <c r="E63" s="22">
        <f>'Usage and Cost'!AK290</f>
        <v>1415.1756</v>
      </c>
      <c r="F63" s="48"/>
      <c r="G63" s="47">
        <f>SUM(C63:F63)</f>
        <v>14735.425211650485</v>
      </c>
      <c r="H63" s="23"/>
    </row>
    <row r="64" spans="2:8" s="10" customFormat="1" ht="16.5" thickBot="1">
      <c r="B64" s="14">
        <v>39600</v>
      </c>
      <c r="C64" s="24">
        <f>'Usage and Cost'!AK71</f>
        <v>9603.27</v>
      </c>
      <c r="D64" s="25">
        <f>'Usage and Cost'!AK180</f>
        <v>3405.3436893203875</v>
      </c>
      <c r="E64" s="25">
        <f>'Usage and Cost'!AK291</f>
        <v>2719.7826</v>
      </c>
      <c r="F64" s="25"/>
      <c r="G64" s="24">
        <f t="shared" si="2"/>
        <v>15728.396289320388</v>
      </c>
      <c r="H64" s="34">
        <f>SUM(G62:G64)</f>
        <v>48196.16488737863</v>
      </c>
    </row>
    <row r="65" spans="2:8" s="10" customFormat="1" ht="15.75">
      <c r="B65" s="9">
        <v>39630</v>
      </c>
      <c r="C65" s="18">
        <f>'Usage and Cost'!AK72</f>
        <v>9732.426</v>
      </c>
      <c r="D65" s="19">
        <f>'Usage and Cost'!AK181</f>
        <v>3037.1540342</v>
      </c>
      <c r="E65" s="19">
        <f>'Usage and Cost'!AK292</f>
        <v>3118.1968000000006</v>
      </c>
      <c r="F65" s="19"/>
      <c r="G65" s="18">
        <f aca="true" t="shared" si="3" ref="G65:G76">SUM(C65:F65)</f>
        <v>15887.776834200002</v>
      </c>
      <c r="H65" s="20"/>
    </row>
    <row r="66" spans="2:8" s="10" customFormat="1" ht="15.75">
      <c r="B66" s="46">
        <v>39661</v>
      </c>
      <c r="C66" s="21">
        <f>'Usage and Cost'!AK73</f>
        <v>10655.518499999998</v>
      </c>
      <c r="D66" s="22">
        <f>'Usage and Cost'!AK182</f>
        <v>2445.2176759999993</v>
      </c>
      <c r="E66" s="22">
        <f>'Usage and Cost'!AK293</f>
        <v>3185.9250000000006</v>
      </c>
      <c r="F66" s="48"/>
      <c r="G66" s="47">
        <f t="shared" si="3"/>
        <v>16286.661176</v>
      </c>
      <c r="H66" s="23"/>
    </row>
    <row r="67" spans="2:8" s="10" customFormat="1" ht="16.5" thickBot="1">
      <c r="B67" s="14">
        <v>39692</v>
      </c>
      <c r="C67" s="24">
        <f>'Usage and Cost'!AK74</f>
        <v>11824.435</v>
      </c>
      <c r="D67" s="25">
        <f>'Usage and Cost'!AK183</f>
        <v>3153.362398999999</v>
      </c>
      <c r="E67" s="25">
        <f>'Usage and Cost'!AK294</f>
        <v>3503.2471000000005</v>
      </c>
      <c r="F67" s="25"/>
      <c r="G67" s="24">
        <f t="shared" si="3"/>
        <v>18481.044499</v>
      </c>
      <c r="H67" s="34">
        <f>SUM(G65:G67)</f>
        <v>50655.482509199996</v>
      </c>
    </row>
    <row r="68" spans="2:8" s="10" customFormat="1" ht="15.75">
      <c r="B68" s="9">
        <v>39722</v>
      </c>
      <c r="C68" s="18">
        <f>'Usage and Cost'!AK75</f>
        <v>11655.096999999998</v>
      </c>
      <c r="D68" s="19">
        <f>'Usage and Cost'!AK184</f>
        <v>4299.7094976</v>
      </c>
      <c r="E68" s="19">
        <f>'Usage and Cost'!AK295</f>
        <v>4151.1908</v>
      </c>
      <c r="F68" s="19"/>
      <c r="G68" s="18">
        <f t="shared" si="3"/>
        <v>20105.9972976</v>
      </c>
      <c r="H68" s="20"/>
    </row>
    <row r="69" spans="2:8" s="10" customFormat="1" ht="15.75">
      <c r="B69" s="46">
        <v>39753</v>
      </c>
      <c r="C69" s="21">
        <f>'Usage and Cost'!AK76</f>
        <v>11295.378999999999</v>
      </c>
      <c r="D69" s="22">
        <f>'Usage and Cost'!AK185</f>
        <v>8939.570563</v>
      </c>
      <c r="E69" s="22">
        <f>'Usage and Cost'!AK296</f>
        <v>4336.589800000001</v>
      </c>
      <c r="F69" s="48"/>
      <c r="G69" s="47">
        <f t="shared" si="3"/>
        <v>24571.539363</v>
      </c>
      <c r="H69" s="23"/>
    </row>
    <row r="70" spans="2:8" s="10" customFormat="1" ht="16.5" thickBot="1">
      <c r="B70" s="14">
        <v>39783</v>
      </c>
      <c r="C70" s="24">
        <f>'Usage and Cost'!AK77</f>
        <v>9533.863</v>
      </c>
      <c r="D70" s="25">
        <f>'Usage and Cost'!AK186</f>
        <v>11193.5286386</v>
      </c>
      <c r="E70" s="25">
        <f>'Usage and Cost'!AK297</f>
        <v>3333.4105000000004</v>
      </c>
      <c r="F70" s="25"/>
      <c r="G70" s="24">
        <f t="shared" si="3"/>
        <v>24060.8021386</v>
      </c>
      <c r="H70" s="34">
        <f>SUM(G68:G70)</f>
        <v>68738.3387992</v>
      </c>
    </row>
    <row r="71" spans="2:8" s="10" customFormat="1" ht="15.75">
      <c r="B71" s="9">
        <v>39814</v>
      </c>
      <c r="C71" s="18">
        <f>'Usage and Cost'!AK78</f>
        <v>10237.099999999999</v>
      </c>
      <c r="D71" s="19">
        <f>'Usage and Cost'!AK187</f>
        <v>14386.837663</v>
      </c>
      <c r="E71" s="19">
        <f>'Usage and Cost'!AK298</f>
        <v>3373.9839000000006</v>
      </c>
      <c r="F71" s="19"/>
      <c r="G71" s="18">
        <f t="shared" si="3"/>
        <v>27997.921562999996</v>
      </c>
      <c r="H71" s="20"/>
    </row>
    <row r="72" spans="2:8" s="10" customFormat="1" ht="15.75">
      <c r="B72" s="46">
        <v>39845</v>
      </c>
      <c r="C72" s="21">
        <f>'Usage and Cost'!AK79</f>
        <v>12056.398</v>
      </c>
      <c r="D72" s="22">
        <f>'Usage and Cost'!AK188</f>
        <v>19236.115885799994</v>
      </c>
      <c r="E72" s="22">
        <f>'Usage and Cost'!AK299</f>
        <v>3871.0279000000005</v>
      </c>
      <c r="F72" s="48"/>
      <c r="G72" s="47">
        <f t="shared" si="3"/>
        <v>35163.54178579999</v>
      </c>
      <c r="H72" s="23"/>
    </row>
    <row r="73" spans="2:8" s="10" customFormat="1" ht="16.5" thickBot="1">
      <c r="B73" s="14">
        <v>39873</v>
      </c>
      <c r="C73" s="24">
        <f>'Usage and Cost'!AK80</f>
        <v>10853.998</v>
      </c>
      <c r="D73" s="25">
        <f>'Usage and Cost'!AK189</f>
        <v>11298.842469199997</v>
      </c>
      <c r="E73" s="25">
        <f>'Usage and Cost'!AK300</f>
        <v>2998.3028000000004</v>
      </c>
      <c r="F73" s="25"/>
      <c r="G73" s="24">
        <f t="shared" si="3"/>
        <v>25151.143269199998</v>
      </c>
      <c r="H73" s="34">
        <f>SUM(G71:G73)</f>
        <v>88312.60661799999</v>
      </c>
    </row>
    <row r="74" spans="2:8" s="10" customFormat="1" ht="15.75">
      <c r="B74" s="9">
        <v>39904</v>
      </c>
      <c r="C74" s="18">
        <f>'Usage and Cost'!AK81</f>
        <v>9486.128833333332</v>
      </c>
      <c r="D74" s="19">
        <f>'Usage and Cost'!AK190</f>
        <v>9636.820751799998</v>
      </c>
      <c r="E74" s="19">
        <f>'Usage and Cost'!AK301</f>
        <v>3942.6864000000005</v>
      </c>
      <c r="F74" s="19"/>
      <c r="G74" s="18">
        <f t="shared" si="3"/>
        <v>23065.635985133333</v>
      </c>
      <c r="H74" s="20"/>
    </row>
    <row r="75" spans="2:8" s="10" customFormat="1" ht="15.75">
      <c r="B75" s="46">
        <v>39934</v>
      </c>
      <c r="C75" s="21">
        <f>'Usage and Cost'!AK82</f>
        <v>6579.7165</v>
      </c>
      <c r="D75" s="22">
        <f>'Usage and Cost'!AK191</f>
        <v>2989.9443859999997</v>
      </c>
      <c r="E75" s="22">
        <f>'Usage and Cost'!AK302</f>
        <v>1868.6790000000003</v>
      </c>
      <c r="F75" s="48"/>
      <c r="G75" s="47">
        <f t="shared" si="3"/>
        <v>11438.339886</v>
      </c>
      <c r="H75" s="23"/>
    </row>
    <row r="76" spans="2:8" s="10" customFormat="1" ht="16.5" thickBot="1">
      <c r="B76" s="14">
        <v>39965</v>
      </c>
      <c r="C76" s="24">
        <f>'Usage and Cost'!AK83</f>
        <v>7385.157499999999</v>
      </c>
      <c r="D76" s="25">
        <f>'Usage and Cost'!AK192</f>
        <v>2727.2650613999995</v>
      </c>
      <c r="E76" s="25">
        <f>'Usage and Cost'!AK303</f>
        <v>1954.3913000000002</v>
      </c>
      <c r="F76" s="25"/>
      <c r="G76" s="24">
        <f t="shared" si="3"/>
        <v>12066.813861399998</v>
      </c>
      <c r="H76" s="34">
        <f>SUM(G74:G76)</f>
        <v>46570.78973253333</v>
      </c>
    </row>
    <row r="77" spans="2:8" s="10" customFormat="1" ht="15.75">
      <c r="B77" s="9">
        <v>39995</v>
      </c>
      <c r="C77" s="18">
        <f>'Usage and Cost'!AK84</f>
        <v>8660.140000000001</v>
      </c>
      <c r="D77" s="19">
        <f>'Usage and Cost'!AK193</f>
        <v>1811.68</v>
      </c>
      <c r="E77" s="19">
        <f>'Usage and Cost'!AK304</f>
        <v>6494.1657</v>
      </c>
      <c r="F77" s="19"/>
      <c r="G77" s="18">
        <f aca="true" t="shared" si="4" ref="G77:G88">SUM(C77:F77)</f>
        <v>16965.9857</v>
      </c>
      <c r="H77" s="20"/>
    </row>
    <row r="78" spans="2:8" s="10" customFormat="1" ht="15.75">
      <c r="B78" s="46">
        <v>40026</v>
      </c>
      <c r="C78" s="21">
        <f>'Usage and Cost'!AK85</f>
        <v>10237.315</v>
      </c>
      <c r="D78" s="22">
        <f>'Usage and Cost'!AK194</f>
        <v>2243.28</v>
      </c>
      <c r="E78" s="22">
        <f>'Usage and Cost'!AK305</f>
        <v>1599.5924</v>
      </c>
      <c r="F78" s="48"/>
      <c r="G78" s="47">
        <f t="shared" si="4"/>
        <v>14080.1874</v>
      </c>
      <c r="H78" s="23"/>
    </row>
    <row r="79" spans="2:8" s="10" customFormat="1" ht="16.5" thickBot="1">
      <c r="B79" s="14">
        <v>40057</v>
      </c>
      <c r="C79" s="24">
        <f>'Usage and Cost'!AK86</f>
        <v>10261.37</v>
      </c>
      <c r="D79" s="25">
        <f>'Usage and Cost'!AK195</f>
        <v>2579.2000000000003</v>
      </c>
      <c r="E79" s="25">
        <f>'Usage and Cost'!AK306</f>
        <v>1836.4029</v>
      </c>
      <c r="F79" s="25"/>
      <c r="G79" s="24">
        <f t="shared" si="4"/>
        <v>14676.9729</v>
      </c>
      <c r="H79" s="34">
        <f>SUM(G77:G79)</f>
        <v>45723.146</v>
      </c>
    </row>
    <row r="80" spans="2:8" s="10" customFormat="1" ht="15.75">
      <c r="B80" s="9">
        <v>40087</v>
      </c>
      <c r="C80" s="18">
        <f>'Usage and Cost'!AK87</f>
        <v>11251.875</v>
      </c>
      <c r="D80" s="19">
        <f>'Usage and Cost'!AK196</f>
        <v>5191.68</v>
      </c>
      <c r="E80" s="19">
        <f>'Usage and Cost'!AK307</f>
        <v>9010.7487</v>
      </c>
      <c r="F80" s="19"/>
      <c r="G80" s="18">
        <f t="shared" si="4"/>
        <v>25454.3037</v>
      </c>
      <c r="H80" s="20"/>
    </row>
    <row r="81" spans="2:8" s="10" customFormat="1" ht="15.75">
      <c r="B81" s="46">
        <v>40118</v>
      </c>
      <c r="C81" s="21">
        <f>'Usage and Cost'!AK88</f>
        <v>10158.01</v>
      </c>
      <c r="D81" s="22">
        <f>'Usage and Cost'!AK197</f>
        <v>4171.4400000000005</v>
      </c>
      <c r="E81" s="22">
        <f>'Usage and Cost'!AK308</f>
        <v>3657.5213</v>
      </c>
      <c r="F81" s="48"/>
      <c r="G81" s="47">
        <f t="shared" si="4"/>
        <v>17986.9713</v>
      </c>
      <c r="H81" s="23"/>
    </row>
    <row r="82" spans="2:8" s="10" customFormat="1" ht="16.5" thickBot="1">
      <c r="B82" s="14">
        <v>40148</v>
      </c>
      <c r="C82" s="24">
        <f>'Usage and Cost'!AK89</f>
        <v>9779.08</v>
      </c>
      <c r="D82" s="25">
        <f>'Usage and Cost'!AK198</f>
        <v>6746.4800000000005</v>
      </c>
      <c r="E82" s="25">
        <f>'Usage and Cost'!AK309</f>
        <v>3124.7075999999997</v>
      </c>
      <c r="F82" s="25"/>
      <c r="G82" s="24">
        <f t="shared" si="4"/>
        <v>19650.2676</v>
      </c>
      <c r="H82" s="34">
        <f>SUM(G80:G82)</f>
        <v>63091.5426</v>
      </c>
    </row>
    <row r="83" spans="2:8" s="10" customFormat="1" ht="15.75">
      <c r="B83" s="9">
        <v>40179</v>
      </c>
      <c r="C83" s="18">
        <f>'Usage and Cost'!AK90</f>
        <v>9952.395</v>
      </c>
      <c r="D83" s="19">
        <f>'Usage and Cost'!AK199</f>
        <v>13450.32</v>
      </c>
      <c r="E83" s="19">
        <f>'Usage and Cost'!AK310</f>
        <v>2633.8965</v>
      </c>
      <c r="F83" s="19"/>
      <c r="G83" s="18">
        <f t="shared" si="4"/>
        <v>26036.6115</v>
      </c>
      <c r="H83" s="20"/>
    </row>
    <row r="84" spans="2:8" s="10" customFormat="1" ht="15.75">
      <c r="B84" s="46">
        <v>40210</v>
      </c>
      <c r="C84" s="21">
        <f>'Usage and Cost'!AK91</f>
        <v>11393.995</v>
      </c>
      <c r="D84" s="22">
        <f>'Usage and Cost'!AK200</f>
        <v>11200.800000000001</v>
      </c>
      <c r="E84" s="22">
        <f>'Usage and Cost'!AK311</f>
        <v>3613.9703999999997</v>
      </c>
      <c r="F84" s="48"/>
      <c r="G84" s="47">
        <f t="shared" si="4"/>
        <v>26208.7654</v>
      </c>
      <c r="H84" s="23"/>
    </row>
    <row r="85" spans="2:8" s="10" customFormat="1" ht="16.5" thickBot="1">
      <c r="B85" s="14">
        <v>40238</v>
      </c>
      <c r="C85" s="24">
        <f>'Usage and Cost'!AK92</f>
        <v>9328.58</v>
      </c>
      <c r="D85" s="25">
        <f>'Usage and Cost'!AK201</f>
        <v>8537.36</v>
      </c>
      <c r="E85" s="25">
        <f>'Usage and Cost'!AK312</f>
        <v>2803.1773</v>
      </c>
      <c r="F85" s="25"/>
      <c r="G85" s="24">
        <f t="shared" si="4"/>
        <v>20669.1173</v>
      </c>
      <c r="H85" s="34">
        <f>SUM(G83:G85)</f>
        <v>72914.4942</v>
      </c>
    </row>
    <row r="86" spans="2:8" s="10" customFormat="1" ht="15.75">
      <c r="B86" s="9">
        <v>40269</v>
      </c>
      <c r="C86" s="18">
        <f>'Usage and Cost'!AK93</f>
        <v>9839.968333333334</v>
      </c>
      <c r="D86" s="19">
        <f>'Usage and Cost'!AK202</f>
        <v>8203.52</v>
      </c>
      <c r="E86" s="19">
        <f>'Usage and Cost'!AK313</f>
        <v>3377.0805</v>
      </c>
      <c r="F86" s="19"/>
      <c r="G86" s="18">
        <f t="shared" si="4"/>
        <v>21420.568833333335</v>
      </c>
      <c r="H86" s="20"/>
    </row>
    <row r="87" spans="2:8" s="10" customFormat="1" ht="15.75">
      <c r="B87" s="46">
        <v>40299</v>
      </c>
      <c r="C87" s="21">
        <f>'Usage and Cost'!AK94</f>
        <v>7315.950000000001</v>
      </c>
      <c r="D87" s="22">
        <f>'Usage and Cost'!AK203</f>
        <v>2947.36</v>
      </c>
      <c r="E87" s="22">
        <f>'Usage and Cost'!AK314</f>
        <v>1845.8118</v>
      </c>
      <c r="F87" s="48"/>
      <c r="G87" s="47">
        <f t="shared" si="4"/>
        <v>12109.1218</v>
      </c>
      <c r="H87" s="23"/>
    </row>
    <row r="88" spans="2:8" s="10" customFormat="1" ht="16.5" thickBot="1">
      <c r="B88" s="14">
        <v>40330</v>
      </c>
      <c r="C88" s="24">
        <f>'Usage and Cost'!AK95</f>
        <v>8030.205000000001</v>
      </c>
      <c r="D88" s="25">
        <f>'Usage and Cost'!AK204</f>
        <v>1731.6000000000001</v>
      </c>
      <c r="E88" s="25">
        <f>'Usage and Cost'!AK315</f>
        <v>1258.0533</v>
      </c>
      <c r="F88" s="25"/>
      <c r="G88" s="24">
        <f t="shared" si="4"/>
        <v>11019.8583</v>
      </c>
      <c r="H88" s="34">
        <f>SUM(G86:G88)</f>
        <v>44549.54893333333</v>
      </c>
    </row>
    <row r="89" spans="2:8" s="10" customFormat="1" ht="15.75">
      <c r="B89" s="9">
        <v>40360</v>
      </c>
      <c r="C89" s="18">
        <f>'Usage and Cost'!AK96</f>
        <v>8409.72</v>
      </c>
      <c r="D89" s="19">
        <f>'Usage and Cost'!AK205</f>
        <v>1770.944</v>
      </c>
      <c r="E89" s="19">
        <f>'Usage and Cost'!AK316</f>
        <v>3669.8555</v>
      </c>
      <c r="F89" s="19"/>
      <c r="G89" s="18">
        <f aca="true" t="shared" si="5" ref="G89:G94">SUM(C89:F89)</f>
        <v>13850.519499999999</v>
      </c>
      <c r="H89" s="20"/>
    </row>
    <row r="90" spans="2:8" s="10" customFormat="1" ht="15.75">
      <c r="B90" s="46">
        <v>40391</v>
      </c>
      <c r="C90" s="21">
        <f>'Usage and Cost'!AK97</f>
        <v>13887.192</v>
      </c>
      <c r="D90" s="22">
        <f>'Usage and Cost'!AK206</f>
        <v>1475.2359999999999</v>
      </c>
      <c r="E90" s="22">
        <f>'Usage and Cost'!AK317</f>
        <v>4068.318</v>
      </c>
      <c r="F90" s="48"/>
      <c r="G90" s="47">
        <f t="shared" si="5"/>
        <v>19430.746</v>
      </c>
      <c r="H90" s="23"/>
    </row>
    <row r="91" spans="2:8" s="10" customFormat="1" ht="16.5" thickBot="1">
      <c r="B91" s="14">
        <v>40422</v>
      </c>
      <c r="C91" s="24">
        <f>'Usage and Cost'!AK98</f>
        <v>12984.223999999998</v>
      </c>
      <c r="D91" s="25">
        <f>'Usage and Cost'!AK207</f>
        <v>2236.808</v>
      </c>
      <c r="E91" s="25">
        <f>'Usage and Cost'!AK318</f>
        <v>6417.437</v>
      </c>
      <c r="F91" s="25"/>
      <c r="G91" s="24">
        <f t="shared" si="5"/>
        <v>21638.468999999997</v>
      </c>
      <c r="H91" s="34">
        <f>SUM(G89:G91)</f>
        <v>54919.73449999999</v>
      </c>
    </row>
    <row r="92" spans="2:8" s="10" customFormat="1" ht="15.75">
      <c r="B92" s="9">
        <v>40452</v>
      </c>
      <c r="C92" s="18">
        <f>'Usage and Cost'!AK99</f>
        <v>11001.32</v>
      </c>
      <c r="D92" s="19">
        <f>'Usage and Cost'!AK208</f>
        <v>2726.6259999999997</v>
      </c>
      <c r="E92" s="19">
        <f>'Usage and Cost'!AK319</f>
        <v>5336.921</v>
      </c>
      <c r="F92" s="19"/>
      <c r="G92" s="18">
        <f t="shared" si="5"/>
        <v>19064.867</v>
      </c>
      <c r="H92" s="20"/>
    </row>
    <row r="93" spans="2:8" s="10" customFormat="1" ht="15.75">
      <c r="B93" s="46">
        <v>40483</v>
      </c>
      <c r="C93" s="21">
        <f>'Usage and Cost'!AK100</f>
        <v>10463.024</v>
      </c>
      <c r="D93" s="22">
        <f>'Usage and Cost'!AK209</f>
        <v>4139.085999999999</v>
      </c>
      <c r="E93" s="22">
        <f>'Usage and Cost'!AK320</f>
        <v>5531.1675000000005</v>
      </c>
      <c r="F93" s="48"/>
      <c r="G93" s="47">
        <f t="shared" si="5"/>
        <v>20133.2775</v>
      </c>
      <c r="H93" s="23"/>
    </row>
    <row r="94" spans="2:8" s="10" customFormat="1" ht="16.5" thickBot="1">
      <c r="B94" s="14">
        <v>40513</v>
      </c>
      <c r="C94" s="24">
        <f>'Usage and Cost'!AK101</f>
        <v>10416.207999999999</v>
      </c>
      <c r="D94" s="25">
        <f>'Usage and Cost'!AK210</f>
        <v>7248.15</v>
      </c>
      <c r="E94" s="25">
        <f>'Usage and Cost'!AK321</f>
        <v>4391.914</v>
      </c>
      <c r="F94" s="25"/>
      <c r="G94" s="24">
        <f t="shared" si="5"/>
        <v>22056.272</v>
      </c>
      <c r="H94" s="34">
        <f>SUM(G92:G94)</f>
        <v>61254.41649999999</v>
      </c>
    </row>
    <row r="95" spans="2:9" s="44" customFormat="1" ht="15.75">
      <c r="B95" s="444" t="s">
        <v>11</v>
      </c>
      <c r="C95" s="445">
        <f>SUM(C83:C94)</f>
        <v>123022.78133333333</v>
      </c>
      <c r="D95" s="445">
        <f>SUM(D83:D94)</f>
        <v>65667.80999999998</v>
      </c>
      <c r="E95" s="445">
        <f>SUM(E83:E94)</f>
        <v>44947.6028</v>
      </c>
      <c r="F95" s="445">
        <f>SUM(F83:F94)</f>
        <v>0</v>
      </c>
      <c r="G95" s="445">
        <f>SUM(G83:G94)</f>
        <v>233638.19413333328</v>
      </c>
      <c r="H95" s="445">
        <f>SUM(H83:H94)</f>
        <v>233638.1941333333</v>
      </c>
      <c r="I95" s="452"/>
    </row>
    <row r="96" spans="2:8" s="44" customFormat="1" ht="15.75">
      <c r="B96" s="443" t="s">
        <v>134</v>
      </c>
      <c r="C96" s="442">
        <f>SUM(C77:C88)</f>
        <v>116208.88333333335</v>
      </c>
      <c r="D96" s="442">
        <f>SUM(D77:D88)</f>
        <v>68814.72000000002</v>
      </c>
      <c r="E96" s="442">
        <f>SUM(E77:E88)</f>
        <v>41255.128399999994</v>
      </c>
      <c r="F96" s="442"/>
      <c r="G96" s="442"/>
      <c r="H96" s="442">
        <f>SUM(H77:H88)</f>
        <v>226278.73173333335</v>
      </c>
    </row>
    <row r="97" spans="2:7" s="3" customFormat="1" ht="15">
      <c r="B97" s="16" t="s">
        <v>6</v>
      </c>
      <c r="C97" s="15"/>
      <c r="D97" s="15"/>
      <c r="E97" s="15"/>
      <c r="F97" s="15"/>
      <c r="G97" s="113"/>
    </row>
    <row r="98" spans="2:3" s="3" customFormat="1" ht="15.75">
      <c r="B98" s="44" t="s">
        <v>69</v>
      </c>
      <c r="C98" s="3" t="s">
        <v>109</v>
      </c>
    </row>
    <row r="99" ht="14.25">
      <c r="C99" s="45" t="s">
        <v>71</v>
      </c>
    </row>
    <row r="100" ht="14.25">
      <c r="C100" s="45" t="s">
        <v>110</v>
      </c>
    </row>
    <row r="101" ht="14.25">
      <c r="C101" s="45"/>
    </row>
  </sheetData>
  <sheetProtection/>
  <printOptions horizontalCentered="1"/>
  <pageMargins left="0.75" right="0.75" top="0.75" bottom="0.75" header="0.5" footer="0.5"/>
  <pageSetup horizontalDpi="300" verticalDpi="300" orientation="landscape" scale="69" r:id="rId2"/>
  <headerFooter alignWithMargins="0">
    <oddFooter>&amp;L&amp;D&amp;Rpage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443"/>
  <sheetViews>
    <sheetView view="pageBreakPreview" zoomScaleNormal="75" zoomScaleSheetLayoutView="100" zoomScalePageLayoutView="0" workbookViewId="0" topLeftCell="A1">
      <pane xSplit="2" ySplit="4" topLeftCell="Y8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F101" sqref="AF101"/>
    </sheetView>
  </sheetViews>
  <sheetFormatPr defaultColWidth="9.140625" defaultRowHeight="12.75"/>
  <cols>
    <col min="1" max="1" width="10.28125" style="342" customWidth="1"/>
    <col min="2" max="2" width="11.00390625" style="342" customWidth="1"/>
    <col min="3" max="3" width="11.140625" style="342" customWidth="1"/>
    <col min="4" max="4" width="10.7109375" style="342" customWidth="1"/>
    <col min="5" max="5" width="9.00390625" style="342" customWidth="1"/>
    <col min="6" max="6" width="11.00390625" style="342" bestFit="1" customWidth="1"/>
    <col min="7" max="7" width="10.28125" style="342" customWidth="1"/>
    <col min="8" max="8" width="11.28125" style="342" customWidth="1"/>
    <col min="9" max="9" width="10.140625" style="342" customWidth="1"/>
    <col min="10" max="10" width="11.8515625" style="342" bestFit="1" customWidth="1"/>
    <col min="11" max="11" width="12.7109375" style="342" customWidth="1"/>
    <col min="12" max="12" width="14.140625" style="342" customWidth="1"/>
    <col min="13" max="13" width="11.28125" style="342" customWidth="1"/>
    <col min="14" max="14" width="14.57421875" style="342" customWidth="1"/>
    <col min="15" max="15" width="11.7109375" style="356" customWidth="1"/>
    <col min="16" max="16" width="11.7109375" style="342" customWidth="1"/>
    <col min="17" max="18" width="10.57421875" style="356" customWidth="1"/>
    <col min="19" max="19" width="12.28125" style="342" customWidth="1"/>
    <col min="20" max="28" width="10.57421875" style="342" customWidth="1"/>
    <col min="29" max="29" width="11.00390625" style="342" customWidth="1"/>
    <col min="30" max="30" width="9.7109375" style="342" customWidth="1"/>
    <col min="31" max="31" width="12.28125" style="342" customWidth="1"/>
    <col min="32" max="32" width="13.421875" style="342" customWidth="1"/>
    <col min="33" max="33" width="13.00390625" style="342" customWidth="1"/>
    <col min="34" max="37" width="12.00390625" style="342" customWidth="1"/>
    <col min="38" max="16384" width="9.140625" style="342" customWidth="1"/>
  </cols>
  <sheetData>
    <row r="1" spans="1:18" s="76" customFormat="1" ht="12.75">
      <c r="A1" s="209"/>
      <c r="B1" s="210"/>
      <c r="C1" s="211" t="s">
        <v>115</v>
      </c>
      <c r="J1" s="212"/>
      <c r="K1" s="212"/>
      <c r="O1" s="213"/>
      <c r="Q1" s="213"/>
      <c r="R1" s="213"/>
    </row>
    <row r="2" spans="6:34" s="76" customFormat="1" ht="12.75">
      <c r="F2" s="200">
        <f>(20487+20610)/61926</f>
        <v>0.6636469334366825</v>
      </c>
      <c r="G2" s="201" t="s">
        <v>106</v>
      </c>
      <c r="J2" s="212"/>
      <c r="K2" s="212"/>
      <c r="O2" s="213"/>
      <c r="Q2" s="213"/>
      <c r="R2" s="213"/>
      <c r="AH2" s="211" t="s">
        <v>0</v>
      </c>
    </row>
    <row r="3" spans="6:37" s="76" customFormat="1" ht="13.5" thickBot="1">
      <c r="F3" s="202">
        <v>0.33</v>
      </c>
      <c r="G3" s="201" t="s">
        <v>107</v>
      </c>
      <c r="J3" s="203"/>
      <c r="K3" s="200">
        <v>0.9</v>
      </c>
      <c r="L3" s="201" t="s">
        <v>61</v>
      </c>
      <c r="O3" s="213"/>
      <c r="Q3" s="213"/>
      <c r="R3" s="213"/>
      <c r="AH3" s="527" t="s">
        <v>118</v>
      </c>
      <c r="AI3" s="527"/>
      <c r="AJ3" s="527" t="s">
        <v>114</v>
      </c>
      <c r="AK3" s="527"/>
    </row>
    <row r="4" spans="1:37" s="211" customFormat="1" ht="26.25" thickBot="1">
      <c r="A4" s="214" t="s">
        <v>79</v>
      </c>
      <c r="B4" s="215" t="s">
        <v>23</v>
      </c>
      <c r="C4" s="530" t="s">
        <v>40</v>
      </c>
      <c r="D4" s="531"/>
      <c r="E4" s="528" t="s">
        <v>121</v>
      </c>
      <c r="F4" s="529"/>
      <c r="G4" s="528" t="s">
        <v>42</v>
      </c>
      <c r="H4" s="529"/>
      <c r="I4" s="528" t="s">
        <v>43</v>
      </c>
      <c r="J4" s="529"/>
      <c r="K4" s="528" t="s">
        <v>122</v>
      </c>
      <c r="L4" s="529"/>
      <c r="M4" s="528" t="s">
        <v>123</v>
      </c>
      <c r="N4" s="529"/>
      <c r="O4" s="528">
        <v>1000</v>
      </c>
      <c r="P4" s="529"/>
      <c r="Q4" s="528">
        <v>2000</v>
      </c>
      <c r="R4" s="529"/>
      <c r="S4" s="528">
        <v>3000</v>
      </c>
      <c r="T4" s="529"/>
      <c r="U4" s="528">
        <v>4000</v>
      </c>
      <c r="V4" s="529"/>
      <c r="W4" s="528">
        <v>5000</v>
      </c>
      <c r="X4" s="529"/>
      <c r="Y4" s="528">
        <v>6000</v>
      </c>
      <c r="Z4" s="529"/>
      <c r="AA4" s="528">
        <v>7000</v>
      </c>
      <c r="AB4" s="529"/>
      <c r="AC4" s="217" t="s">
        <v>26</v>
      </c>
      <c r="AD4" s="218" t="s">
        <v>24</v>
      </c>
      <c r="AE4" s="217" t="s">
        <v>31</v>
      </c>
      <c r="AF4" s="217" t="s">
        <v>33</v>
      </c>
      <c r="AH4" s="219" t="s">
        <v>26</v>
      </c>
      <c r="AI4" s="219" t="s">
        <v>31</v>
      </c>
      <c r="AJ4" s="219" t="s">
        <v>26</v>
      </c>
      <c r="AK4" s="219" t="s">
        <v>31</v>
      </c>
    </row>
    <row r="5" spans="1:37" s="211" customFormat="1" ht="15.75">
      <c r="A5" s="214"/>
      <c r="B5" s="215"/>
      <c r="C5" s="513" t="s">
        <v>141</v>
      </c>
      <c r="D5" s="216"/>
      <c r="E5" s="220"/>
      <c r="F5" s="221"/>
      <c r="G5" s="220"/>
      <c r="H5" s="221"/>
      <c r="I5" s="220"/>
      <c r="J5" s="221"/>
      <c r="K5" s="220"/>
      <c r="L5" s="221"/>
      <c r="M5" s="220"/>
      <c r="N5" s="221"/>
      <c r="O5" s="220"/>
      <c r="P5" s="221"/>
      <c r="Q5" s="220"/>
      <c r="R5" s="221"/>
      <c r="S5" s="220"/>
      <c r="T5" s="221"/>
      <c r="U5" s="220"/>
      <c r="V5" s="221"/>
      <c r="W5" s="220"/>
      <c r="X5" s="221"/>
      <c r="Y5" s="220"/>
      <c r="Z5" s="221"/>
      <c r="AA5" s="220"/>
      <c r="AB5" s="221"/>
      <c r="AC5" s="222"/>
      <c r="AD5" s="223"/>
      <c r="AE5" s="224"/>
      <c r="AF5" s="224"/>
      <c r="AH5" s="219"/>
      <c r="AI5" s="219"/>
      <c r="AJ5" s="219"/>
      <c r="AK5" s="219"/>
    </row>
    <row r="6" spans="2:37" s="211" customFormat="1" ht="13.5" thickBot="1">
      <c r="B6" s="116"/>
      <c r="C6" s="225" t="s">
        <v>20</v>
      </c>
      <c r="D6" s="226" t="s">
        <v>21</v>
      </c>
      <c r="E6" s="225" t="s">
        <v>20</v>
      </c>
      <c r="F6" s="226" t="s">
        <v>21</v>
      </c>
      <c r="G6" s="225" t="s">
        <v>20</v>
      </c>
      <c r="H6" s="226" t="s">
        <v>21</v>
      </c>
      <c r="I6" s="225" t="s">
        <v>20</v>
      </c>
      <c r="J6" s="226" t="s">
        <v>21</v>
      </c>
      <c r="K6" s="225" t="s">
        <v>20</v>
      </c>
      <c r="L6" s="226" t="s">
        <v>21</v>
      </c>
      <c r="M6" s="225" t="s">
        <v>20</v>
      </c>
      <c r="N6" s="226" t="s">
        <v>21</v>
      </c>
      <c r="O6" s="225" t="s">
        <v>20</v>
      </c>
      <c r="P6" s="226" t="s">
        <v>21</v>
      </c>
      <c r="Q6" s="225" t="s">
        <v>20</v>
      </c>
      <c r="R6" s="226" t="s">
        <v>21</v>
      </c>
      <c r="S6" s="225" t="s">
        <v>20</v>
      </c>
      <c r="T6" s="226" t="s">
        <v>21</v>
      </c>
      <c r="U6" s="225" t="s">
        <v>20</v>
      </c>
      <c r="V6" s="226" t="s">
        <v>21</v>
      </c>
      <c r="W6" s="225" t="s">
        <v>20</v>
      </c>
      <c r="X6" s="226" t="s">
        <v>21</v>
      </c>
      <c r="Y6" s="225" t="s">
        <v>20</v>
      </c>
      <c r="Z6" s="226" t="s">
        <v>21</v>
      </c>
      <c r="AA6" s="225" t="s">
        <v>20</v>
      </c>
      <c r="AB6" s="226" t="s">
        <v>21</v>
      </c>
      <c r="AC6" s="226" t="s">
        <v>21</v>
      </c>
      <c r="AD6" s="227" t="s">
        <v>25</v>
      </c>
      <c r="AE6" s="227" t="s">
        <v>32</v>
      </c>
      <c r="AF6" s="227"/>
      <c r="AH6" s="228" t="s">
        <v>21</v>
      </c>
      <c r="AI6" s="204" t="s">
        <v>32</v>
      </c>
      <c r="AJ6" s="228" t="s">
        <v>21</v>
      </c>
      <c r="AK6" s="204" t="s">
        <v>32</v>
      </c>
    </row>
    <row r="7" spans="1:32" s="238" customFormat="1" ht="12.75">
      <c r="A7" s="121">
        <v>37653</v>
      </c>
      <c r="B7" s="229">
        <v>37680</v>
      </c>
      <c r="C7" s="230">
        <v>0</v>
      </c>
      <c r="D7" s="231"/>
      <c r="E7" s="232">
        <v>0</v>
      </c>
      <c r="F7" s="231"/>
      <c r="G7" s="232">
        <v>0</v>
      </c>
      <c r="H7" s="231"/>
      <c r="I7" s="232">
        <v>0</v>
      </c>
      <c r="J7" s="231"/>
      <c r="K7" s="232">
        <v>0</v>
      </c>
      <c r="L7" s="231"/>
      <c r="M7" s="232">
        <v>0</v>
      </c>
      <c r="N7" s="231"/>
      <c r="O7" s="233">
        <v>7466.3</v>
      </c>
      <c r="P7" s="231"/>
      <c r="Q7" s="233">
        <v>6499.9</v>
      </c>
      <c r="R7" s="231"/>
      <c r="S7" s="233">
        <v>15451.9</v>
      </c>
      <c r="T7" s="231"/>
      <c r="U7" s="234">
        <v>1234</v>
      </c>
      <c r="V7" s="235"/>
      <c r="W7" s="233">
        <v>12600.5</v>
      </c>
      <c r="X7" s="231"/>
      <c r="Y7" s="233">
        <v>7533</v>
      </c>
      <c r="Z7" s="231"/>
      <c r="AA7" s="233">
        <v>14482.9</v>
      </c>
      <c r="AB7" s="231"/>
      <c r="AC7" s="236">
        <f>D7+F7+H7+J7+(L7+N7)*$K$3</f>
        <v>0</v>
      </c>
      <c r="AD7" s="237"/>
      <c r="AE7" s="237"/>
      <c r="AF7" s="237"/>
    </row>
    <row r="8" spans="1:32" s="238" customFormat="1" ht="12.75">
      <c r="A8" s="239">
        <v>37681</v>
      </c>
      <c r="B8" s="229">
        <v>37711</v>
      </c>
      <c r="C8" s="230">
        <v>0</v>
      </c>
      <c r="D8" s="231">
        <f aca="true" t="shared" si="0" ref="D8:D14">C8-C7</f>
        <v>0</v>
      </c>
      <c r="E8" s="232">
        <v>0</v>
      </c>
      <c r="F8" s="231">
        <f aca="true" t="shared" si="1" ref="F8:F14">E8-E7</f>
        <v>0</v>
      </c>
      <c r="G8" s="232">
        <v>0</v>
      </c>
      <c r="H8" s="231">
        <f aca="true" t="shared" si="2" ref="H8:H13">G8-G7</f>
        <v>0</v>
      </c>
      <c r="I8" s="232">
        <v>0</v>
      </c>
      <c r="J8" s="231">
        <f>I8-I7</f>
        <v>0</v>
      </c>
      <c r="K8" s="232">
        <v>0</v>
      </c>
      <c r="L8" s="231">
        <f aca="true" t="shared" si="3" ref="L8:L13">K8-K7</f>
        <v>0</v>
      </c>
      <c r="M8" s="232">
        <v>0</v>
      </c>
      <c r="N8" s="231">
        <f aca="true" t="shared" si="4" ref="N8:N13">M8-M7</f>
        <v>0</v>
      </c>
      <c r="O8" s="233">
        <v>9085.6</v>
      </c>
      <c r="P8" s="231">
        <f aca="true" t="shared" si="5" ref="P8:P45">(O8-O7)*10</f>
        <v>16193.000000000002</v>
      </c>
      <c r="Q8" s="233">
        <v>7837.9</v>
      </c>
      <c r="R8" s="231">
        <f aca="true" t="shared" si="6" ref="R8:R22">(Q8-Q7)*10</f>
        <v>13380</v>
      </c>
      <c r="S8" s="233">
        <v>18652.3</v>
      </c>
      <c r="T8" s="231">
        <f aca="true" t="shared" si="7" ref="T8:T20">(S8-S7)*10</f>
        <v>32003.999999999996</v>
      </c>
      <c r="U8" s="233">
        <v>2022</v>
      </c>
      <c r="V8" s="231">
        <f>(U8-U7)*10</f>
        <v>7880</v>
      </c>
      <c r="W8" s="233">
        <v>15159.2</v>
      </c>
      <c r="X8" s="231">
        <f aca="true" t="shared" si="8" ref="X8:X20">(W8-W7)*10</f>
        <v>25587.000000000007</v>
      </c>
      <c r="Y8" s="233">
        <v>9047.5</v>
      </c>
      <c r="Z8" s="240">
        <f aca="true" t="shared" si="9" ref="Z8:Z20">(Y8-Y7)*10</f>
        <v>15145</v>
      </c>
      <c r="AA8" s="233">
        <v>17512.5</v>
      </c>
      <c r="AB8" s="240">
        <f aca="true" t="shared" si="10" ref="AB8:AB20">(AA8-AA7)*10</f>
        <v>30296.000000000004</v>
      </c>
      <c r="AC8" s="241">
        <f>D8+F8+H8+J8+(L8+N8)*$K$3</f>
        <v>0</v>
      </c>
      <c r="AD8" s="242"/>
      <c r="AE8" s="242"/>
      <c r="AF8" s="242"/>
    </row>
    <row r="9" spans="1:32" s="238" customFormat="1" ht="12.75">
      <c r="A9" s="239">
        <v>37712</v>
      </c>
      <c r="B9" s="229">
        <v>37741</v>
      </c>
      <c r="C9" s="230">
        <v>0</v>
      </c>
      <c r="D9" s="231">
        <f t="shared" si="0"/>
        <v>0</v>
      </c>
      <c r="E9" s="232">
        <v>0</v>
      </c>
      <c r="F9" s="231">
        <f t="shared" si="1"/>
        <v>0</v>
      </c>
      <c r="G9" s="232">
        <v>0</v>
      </c>
      <c r="H9" s="231">
        <f t="shared" si="2"/>
        <v>0</v>
      </c>
      <c r="I9" s="232">
        <v>0</v>
      </c>
      <c r="J9" s="231">
        <f>I9-I8</f>
        <v>0</v>
      </c>
      <c r="K9" s="232">
        <v>0</v>
      </c>
      <c r="L9" s="231">
        <f t="shared" si="3"/>
        <v>0</v>
      </c>
      <c r="M9" s="232">
        <v>0</v>
      </c>
      <c r="N9" s="231">
        <f t="shared" si="4"/>
        <v>0</v>
      </c>
      <c r="O9" s="233">
        <v>10359.9</v>
      </c>
      <c r="P9" s="231">
        <f t="shared" si="5"/>
        <v>12742.999999999993</v>
      </c>
      <c r="Q9" s="233">
        <v>8897.3</v>
      </c>
      <c r="R9" s="231">
        <f t="shared" si="6"/>
        <v>10593.999999999996</v>
      </c>
      <c r="S9" s="233">
        <v>21281</v>
      </c>
      <c r="T9" s="231">
        <f t="shared" si="7"/>
        <v>26287.000000000007</v>
      </c>
      <c r="U9" s="233">
        <v>2636</v>
      </c>
      <c r="V9" s="231">
        <f>(U9-U8)*10</f>
        <v>6140</v>
      </c>
      <c r="W9" s="233">
        <v>17221</v>
      </c>
      <c r="X9" s="231">
        <f t="shared" si="8"/>
        <v>20617.999999999993</v>
      </c>
      <c r="Y9" s="233">
        <v>10312</v>
      </c>
      <c r="Z9" s="240">
        <f t="shared" si="9"/>
        <v>12645</v>
      </c>
      <c r="AA9" s="233">
        <v>20039</v>
      </c>
      <c r="AB9" s="240">
        <f t="shared" si="10"/>
        <v>25265</v>
      </c>
      <c r="AC9" s="241">
        <f>D9+F9+H9+J9+(L9+N9)*$K$3</f>
        <v>0</v>
      </c>
      <c r="AD9" s="242"/>
      <c r="AE9" s="242"/>
      <c r="AF9" s="242"/>
    </row>
    <row r="10" spans="1:32" s="238" customFormat="1" ht="12.75">
      <c r="A10" s="239">
        <v>37742</v>
      </c>
      <c r="B10" s="229">
        <v>90</v>
      </c>
      <c r="C10" s="230">
        <v>0</v>
      </c>
      <c r="D10" s="231">
        <f t="shared" si="0"/>
        <v>0</v>
      </c>
      <c r="E10" s="232">
        <v>0</v>
      </c>
      <c r="F10" s="231">
        <f t="shared" si="1"/>
        <v>0</v>
      </c>
      <c r="G10" s="232">
        <v>0</v>
      </c>
      <c r="H10" s="231">
        <f t="shared" si="2"/>
        <v>0</v>
      </c>
      <c r="I10" s="232">
        <v>0</v>
      </c>
      <c r="J10" s="231">
        <f>I10-I9</f>
        <v>0</v>
      </c>
      <c r="K10" s="232">
        <v>0</v>
      </c>
      <c r="L10" s="231">
        <f t="shared" si="3"/>
        <v>0</v>
      </c>
      <c r="M10" s="232">
        <v>0</v>
      </c>
      <c r="N10" s="231">
        <f t="shared" si="4"/>
        <v>0</v>
      </c>
      <c r="O10" s="233">
        <v>11353.6</v>
      </c>
      <c r="P10" s="231">
        <f t="shared" si="5"/>
        <v>9937.000000000007</v>
      </c>
      <c r="Q10" s="233">
        <v>9707.8</v>
      </c>
      <c r="R10" s="231">
        <f t="shared" si="6"/>
        <v>8105</v>
      </c>
      <c r="S10" s="233">
        <v>23209.1</v>
      </c>
      <c r="T10" s="231">
        <f t="shared" si="7"/>
        <v>19280.999999999985</v>
      </c>
      <c r="U10" s="233">
        <v>2956</v>
      </c>
      <c r="V10" s="231">
        <f>(U10-U9)*10</f>
        <v>3200</v>
      </c>
      <c r="W10" s="233">
        <v>18722.9</v>
      </c>
      <c r="X10" s="231">
        <f t="shared" si="8"/>
        <v>15019.000000000015</v>
      </c>
      <c r="Y10" s="233">
        <v>11295.8</v>
      </c>
      <c r="Z10" s="240">
        <f t="shared" si="9"/>
        <v>9837.999999999993</v>
      </c>
      <c r="AA10" s="233">
        <v>22231.7</v>
      </c>
      <c r="AB10" s="240">
        <f t="shared" si="10"/>
        <v>21927.000000000007</v>
      </c>
      <c r="AC10" s="241">
        <f>D10+F10+H10+J10+(L10+N10)*$K$3</f>
        <v>0</v>
      </c>
      <c r="AD10" s="242"/>
      <c r="AE10" s="242"/>
      <c r="AF10" s="242"/>
    </row>
    <row r="11" spans="1:32" s="238" customFormat="1" ht="13.5" thickBot="1">
      <c r="A11" s="239">
        <v>37773</v>
      </c>
      <c r="B11" s="229">
        <v>37805</v>
      </c>
      <c r="C11" s="243">
        <v>77330</v>
      </c>
      <c r="D11" s="244">
        <f t="shared" si="0"/>
        <v>77330</v>
      </c>
      <c r="E11" s="245">
        <v>211580</v>
      </c>
      <c r="F11" s="244">
        <f t="shared" si="1"/>
        <v>211580</v>
      </c>
      <c r="G11" s="245">
        <v>166280</v>
      </c>
      <c r="H11" s="244">
        <f t="shared" si="2"/>
        <v>166280</v>
      </c>
      <c r="I11" s="245"/>
      <c r="J11" s="244">
        <f>I11-I10</f>
        <v>0</v>
      </c>
      <c r="K11" s="245">
        <v>138040</v>
      </c>
      <c r="L11" s="244">
        <f t="shared" si="3"/>
        <v>138040</v>
      </c>
      <c r="M11" s="245">
        <v>87640</v>
      </c>
      <c r="N11" s="244">
        <f t="shared" si="4"/>
        <v>87640</v>
      </c>
      <c r="O11" s="246">
        <v>12413.9</v>
      </c>
      <c r="P11" s="244">
        <f t="shared" si="5"/>
        <v>10602.999999999993</v>
      </c>
      <c r="Q11" s="246">
        <v>10544</v>
      </c>
      <c r="R11" s="244">
        <f t="shared" si="6"/>
        <v>8362.000000000007</v>
      </c>
      <c r="S11" s="246">
        <v>25610.9</v>
      </c>
      <c r="T11" s="244">
        <f t="shared" si="7"/>
        <v>24018.00000000003</v>
      </c>
      <c r="U11" s="246">
        <v>3287</v>
      </c>
      <c r="V11" s="244">
        <f>(U11-U10)*10</f>
        <v>3310</v>
      </c>
      <c r="W11" s="246">
        <v>20540.6</v>
      </c>
      <c r="X11" s="244">
        <f t="shared" si="8"/>
        <v>18176.99999999997</v>
      </c>
      <c r="Y11" s="233">
        <v>12525.8</v>
      </c>
      <c r="Z11" s="240">
        <f t="shared" si="9"/>
        <v>12300</v>
      </c>
      <c r="AA11" s="233">
        <v>24645.3</v>
      </c>
      <c r="AB11" s="240">
        <f t="shared" si="10"/>
        <v>24135.999999999985</v>
      </c>
      <c r="AC11" s="247"/>
      <c r="AD11" s="248"/>
      <c r="AE11" s="248"/>
      <c r="AF11" s="242"/>
    </row>
    <row r="12" spans="1:37" s="115" customFormat="1" ht="12.75">
      <c r="A12" s="239">
        <v>37803</v>
      </c>
      <c r="B12" s="116">
        <v>37834</v>
      </c>
      <c r="C12" s="68">
        <f>(C13-C11)/2+C11</f>
        <v>90580</v>
      </c>
      <c r="D12" s="57">
        <f t="shared" si="0"/>
        <v>13250</v>
      </c>
      <c r="E12" s="68">
        <f>(E13-E11)/2+E11</f>
        <v>225635</v>
      </c>
      <c r="F12" s="57">
        <f t="shared" si="1"/>
        <v>14055</v>
      </c>
      <c r="G12" s="58">
        <v>203450</v>
      </c>
      <c r="H12" s="59">
        <f t="shared" si="2"/>
        <v>37170</v>
      </c>
      <c r="I12" s="58">
        <v>0</v>
      </c>
      <c r="J12" s="59">
        <v>0</v>
      </c>
      <c r="K12" s="58">
        <v>208830</v>
      </c>
      <c r="L12" s="59">
        <f t="shared" si="3"/>
        <v>70790</v>
      </c>
      <c r="M12" s="58">
        <v>127140</v>
      </c>
      <c r="N12" s="59">
        <f t="shared" si="4"/>
        <v>39500</v>
      </c>
      <c r="O12" s="66">
        <v>13521.8</v>
      </c>
      <c r="P12" s="63">
        <f t="shared" si="5"/>
        <v>11078.999999999996</v>
      </c>
      <c r="Q12" s="58">
        <v>11349.6</v>
      </c>
      <c r="R12" s="59">
        <f t="shared" si="6"/>
        <v>8056.000000000004</v>
      </c>
      <c r="S12" s="58">
        <v>28367.6</v>
      </c>
      <c r="T12" s="59">
        <f t="shared" si="7"/>
        <v>27566.99999999997</v>
      </c>
      <c r="U12" s="58">
        <v>7357</v>
      </c>
      <c r="V12" s="59">
        <f aca="true" t="shared" si="11" ref="V12:V18">(U12-U11)</f>
        <v>4070</v>
      </c>
      <c r="W12" s="58">
        <v>22618</v>
      </c>
      <c r="X12" s="59">
        <f t="shared" si="8"/>
        <v>20774.000000000015</v>
      </c>
      <c r="Y12" s="66">
        <v>13768.1</v>
      </c>
      <c r="Z12" s="63">
        <f t="shared" si="9"/>
        <v>12423.000000000011</v>
      </c>
      <c r="AA12" s="66">
        <v>27170.8</v>
      </c>
      <c r="AB12" s="63">
        <f t="shared" si="10"/>
        <v>25255</v>
      </c>
      <c r="AC12" s="249">
        <f>D12+F12*$F$2+H12+J12+(L12+N12)*$K$3+P12+R12+T12+V12+X12+Z12+AB12</f>
        <v>268232.5576494526</v>
      </c>
      <c r="AD12" s="107">
        <v>0.076</v>
      </c>
      <c r="AE12" s="109">
        <f aca="true" t="shared" si="12" ref="AE12:AE23">AC12*AD12</f>
        <v>20385.674381358396</v>
      </c>
      <c r="AF12" s="154"/>
      <c r="AG12" s="185"/>
      <c r="AH12" s="147">
        <f>D12+F12*$F$2+H12+J12+(L12+N12)*$K$3</f>
        <v>159008.5576494526</v>
      </c>
      <c r="AI12" s="186">
        <f>AH12*AD12</f>
        <v>12084.650381358397</v>
      </c>
      <c r="AJ12" s="187">
        <f>P12+R12+T12+V12+X12+Z12+AB12</f>
        <v>109224</v>
      </c>
      <c r="AK12" s="186">
        <f>AJ12*AD12</f>
        <v>8301.024</v>
      </c>
    </row>
    <row r="13" spans="1:37" s="76" customFormat="1" ht="12.75">
      <c r="A13" s="127">
        <v>37834</v>
      </c>
      <c r="B13" s="116">
        <v>37866</v>
      </c>
      <c r="C13" s="250">
        <v>103830</v>
      </c>
      <c r="D13" s="192">
        <f t="shared" si="0"/>
        <v>13250</v>
      </c>
      <c r="E13" s="250">
        <v>239690</v>
      </c>
      <c r="F13" s="192">
        <f t="shared" si="1"/>
        <v>14055</v>
      </c>
      <c r="G13" s="250">
        <v>251770</v>
      </c>
      <c r="H13" s="192">
        <f t="shared" si="2"/>
        <v>48320</v>
      </c>
      <c r="I13" s="250">
        <v>6500</v>
      </c>
      <c r="J13" s="192">
        <f>I13-I12</f>
        <v>6500</v>
      </c>
      <c r="K13" s="250">
        <v>304210</v>
      </c>
      <c r="L13" s="192">
        <f t="shared" si="3"/>
        <v>95380</v>
      </c>
      <c r="M13" s="250">
        <v>179460</v>
      </c>
      <c r="N13" s="192">
        <f t="shared" si="4"/>
        <v>52320</v>
      </c>
      <c r="O13" s="250">
        <v>14641.4</v>
      </c>
      <c r="P13" s="192">
        <f t="shared" si="5"/>
        <v>11196.000000000004</v>
      </c>
      <c r="Q13" s="250">
        <v>12274.8</v>
      </c>
      <c r="R13" s="192">
        <f t="shared" si="6"/>
        <v>9251.999999999989</v>
      </c>
      <c r="S13" s="250">
        <v>31030</v>
      </c>
      <c r="T13" s="192">
        <f t="shared" si="7"/>
        <v>26624.000000000015</v>
      </c>
      <c r="U13" s="250">
        <v>12584</v>
      </c>
      <c r="V13" s="192">
        <f t="shared" si="11"/>
        <v>5227</v>
      </c>
      <c r="W13" s="250">
        <v>24700.1</v>
      </c>
      <c r="X13" s="192">
        <f t="shared" si="8"/>
        <v>20820.999999999985</v>
      </c>
      <c r="Y13" s="250">
        <v>14751</v>
      </c>
      <c r="Z13" s="192">
        <f t="shared" si="9"/>
        <v>9828.999999999996</v>
      </c>
      <c r="AA13" s="250">
        <v>29623.2</v>
      </c>
      <c r="AB13" s="192">
        <f t="shared" si="10"/>
        <v>24524.000000000015</v>
      </c>
      <c r="AC13" s="251">
        <f aca="true" t="shared" si="13" ref="AC13:AC58">D13+F13*$F$2+H13+J13+(L13+N13)*$K$3+P13+R13+T13+V13+X13+Z13+AB13</f>
        <v>317800.5576494526</v>
      </c>
      <c r="AD13" s="252">
        <v>0.076</v>
      </c>
      <c r="AE13" s="253">
        <f t="shared" si="12"/>
        <v>24152.842381358398</v>
      </c>
      <c r="AF13" s="254"/>
      <c r="AG13" s="255"/>
      <c r="AH13" s="256">
        <f aca="true" t="shared" si="14" ref="AH13:AH29">D13+F13*$F$2+H13+J13+(L13+N13)*$K$3</f>
        <v>210327.5576494526</v>
      </c>
      <c r="AI13" s="257">
        <f aca="true" t="shared" si="15" ref="AI13:AI29">AH13*AD13</f>
        <v>15984.894381358396</v>
      </c>
      <c r="AJ13" s="258">
        <f aca="true" t="shared" si="16" ref="AJ13:AJ29">P13+R13+T13+V13+X13+Z13+AB13</f>
        <v>107473.00000000001</v>
      </c>
      <c r="AK13" s="257">
        <f aca="true" t="shared" si="17" ref="AK13:AK29">AJ13*AD13</f>
        <v>8167.948000000001</v>
      </c>
    </row>
    <row r="14" spans="1:37" s="76" customFormat="1" ht="13.5" thickBot="1">
      <c r="A14" s="121">
        <v>37865</v>
      </c>
      <c r="B14" s="116">
        <v>37888</v>
      </c>
      <c r="C14" s="191">
        <v>132000</v>
      </c>
      <c r="D14" s="192">
        <f t="shared" si="0"/>
        <v>28170</v>
      </c>
      <c r="E14" s="191">
        <v>261990</v>
      </c>
      <c r="F14" s="192">
        <f t="shared" si="1"/>
        <v>22300</v>
      </c>
      <c r="G14" s="191">
        <v>289100</v>
      </c>
      <c r="H14" s="192">
        <f>G14-G13</f>
        <v>37330</v>
      </c>
      <c r="I14" s="191">
        <v>26500</v>
      </c>
      <c r="J14" s="192">
        <f>I14-I13</f>
        <v>20000</v>
      </c>
      <c r="K14" s="191">
        <v>388100</v>
      </c>
      <c r="L14" s="192">
        <f>K14-K12</f>
        <v>179270</v>
      </c>
      <c r="M14" s="191">
        <v>223800</v>
      </c>
      <c r="N14" s="192">
        <f>M14-M12</f>
        <v>96660</v>
      </c>
      <c r="O14" s="191">
        <v>16029</v>
      </c>
      <c r="P14" s="194">
        <f t="shared" si="5"/>
        <v>13876.000000000004</v>
      </c>
      <c r="Q14" s="191">
        <v>13884</v>
      </c>
      <c r="R14" s="194">
        <f t="shared" si="6"/>
        <v>16092.000000000007</v>
      </c>
      <c r="S14" s="191">
        <v>34471</v>
      </c>
      <c r="T14" s="194">
        <f t="shared" si="7"/>
        <v>34410</v>
      </c>
      <c r="U14" s="191">
        <v>17718</v>
      </c>
      <c r="V14" s="194">
        <f t="shared" si="11"/>
        <v>5134</v>
      </c>
      <c r="W14" s="191">
        <v>27413</v>
      </c>
      <c r="X14" s="194">
        <f t="shared" si="8"/>
        <v>27129.000000000015</v>
      </c>
      <c r="Y14" s="191">
        <v>16041</v>
      </c>
      <c r="Z14" s="194">
        <f t="shared" si="9"/>
        <v>12900</v>
      </c>
      <c r="AA14" s="250">
        <v>32923</v>
      </c>
      <c r="AB14" s="192">
        <f t="shared" si="10"/>
        <v>32997.99999999999</v>
      </c>
      <c r="AC14" s="259">
        <f t="shared" si="13"/>
        <v>491175.326615638</v>
      </c>
      <c r="AD14" s="260">
        <v>0.076</v>
      </c>
      <c r="AE14" s="261">
        <f t="shared" si="12"/>
        <v>37329.32482278848</v>
      </c>
      <c r="AF14" s="262">
        <f>SUM(AE12:AE14)</f>
        <v>81867.84158550529</v>
      </c>
      <c r="AG14" s="255"/>
      <c r="AH14" s="256">
        <f t="shared" si="14"/>
        <v>348636.326615638</v>
      </c>
      <c r="AI14" s="257">
        <f t="shared" si="15"/>
        <v>26496.360822788487</v>
      </c>
      <c r="AJ14" s="258">
        <f t="shared" si="16"/>
        <v>142539.00000000003</v>
      </c>
      <c r="AK14" s="257">
        <f t="shared" si="17"/>
        <v>10832.964000000002</v>
      </c>
    </row>
    <row r="15" spans="1:37" s="76" customFormat="1" ht="12.75">
      <c r="A15" s="121">
        <v>37895</v>
      </c>
      <c r="B15" s="178">
        <v>37918</v>
      </c>
      <c r="C15" s="263">
        <v>1720</v>
      </c>
      <c r="D15" s="264">
        <f>(C15*100)-C14</f>
        <v>40000</v>
      </c>
      <c r="E15" s="263">
        <v>2919</v>
      </c>
      <c r="F15" s="264">
        <f>(E15*100)-E14</f>
        <v>29910</v>
      </c>
      <c r="G15" s="263">
        <v>3348</v>
      </c>
      <c r="H15" s="264">
        <f>(G15*100)-G14</f>
        <v>45700</v>
      </c>
      <c r="I15" s="263">
        <v>677</v>
      </c>
      <c r="J15" s="264">
        <f>(I15*100)-I14</f>
        <v>41200</v>
      </c>
      <c r="K15" s="263">
        <v>4924</v>
      </c>
      <c r="L15" s="264">
        <f>(K15*100)-K14</f>
        <v>104300</v>
      </c>
      <c r="M15" s="263">
        <v>2904</v>
      </c>
      <c r="N15" s="264">
        <f>(M15*100)-M14</f>
        <v>66600</v>
      </c>
      <c r="O15" s="263">
        <v>17294</v>
      </c>
      <c r="P15" s="264">
        <f t="shared" si="5"/>
        <v>12650</v>
      </c>
      <c r="Q15" s="263">
        <v>15312</v>
      </c>
      <c r="R15" s="264">
        <f t="shared" si="6"/>
        <v>14280</v>
      </c>
      <c r="S15" s="263">
        <v>37467</v>
      </c>
      <c r="T15" s="264">
        <f t="shared" si="7"/>
        <v>29960</v>
      </c>
      <c r="U15" s="263">
        <v>22374</v>
      </c>
      <c r="V15" s="264">
        <f t="shared" si="11"/>
        <v>4656</v>
      </c>
      <c r="W15" s="263">
        <v>29868</v>
      </c>
      <c r="X15" s="264">
        <f t="shared" si="8"/>
        <v>24550</v>
      </c>
      <c r="Y15" s="250">
        <v>17295</v>
      </c>
      <c r="Z15" s="192">
        <f t="shared" si="9"/>
        <v>12540</v>
      </c>
      <c r="AA15" s="263">
        <v>35879</v>
      </c>
      <c r="AB15" s="264">
        <f t="shared" si="10"/>
        <v>29560</v>
      </c>
      <c r="AC15" s="265">
        <f t="shared" si="13"/>
        <v>428755.67977909115</v>
      </c>
      <c r="AD15" s="252">
        <v>0.076</v>
      </c>
      <c r="AE15" s="253">
        <f t="shared" si="12"/>
        <v>32585.431663210926</v>
      </c>
      <c r="AF15" s="254"/>
      <c r="AG15" s="255"/>
      <c r="AH15" s="256">
        <f t="shared" si="14"/>
        <v>300559.67977909115</v>
      </c>
      <c r="AI15" s="257">
        <f t="shared" si="15"/>
        <v>22842.535663210925</v>
      </c>
      <c r="AJ15" s="258">
        <f t="shared" si="16"/>
        <v>128196</v>
      </c>
      <c r="AK15" s="257">
        <f t="shared" si="17"/>
        <v>9742.896</v>
      </c>
    </row>
    <row r="16" spans="1:37" s="76" customFormat="1" ht="12.75">
      <c r="A16" s="121">
        <v>37926</v>
      </c>
      <c r="B16" s="122">
        <v>37946</v>
      </c>
      <c r="C16" s="250">
        <v>2109</v>
      </c>
      <c r="D16" s="192">
        <f aca="true" t="shared" si="18" ref="D16:D38">(C16-C15)*100</f>
        <v>38900</v>
      </c>
      <c r="E16" s="250">
        <v>3257</v>
      </c>
      <c r="F16" s="192">
        <f>(E16-E15)*100</f>
        <v>33800</v>
      </c>
      <c r="G16" s="250">
        <v>3773</v>
      </c>
      <c r="H16" s="192">
        <f>(G16-G15)*100</f>
        <v>42500</v>
      </c>
      <c r="I16" s="250">
        <v>1083</v>
      </c>
      <c r="J16" s="192">
        <f>(I16-I15)*100</f>
        <v>40600</v>
      </c>
      <c r="K16" s="250">
        <v>5848</v>
      </c>
      <c r="L16" s="192">
        <f>(K16-K15)*100</f>
        <v>92400</v>
      </c>
      <c r="M16" s="250">
        <v>3575</v>
      </c>
      <c r="N16" s="192">
        <f>(M16-M15)*100</f>
        <v>67100</v>
      </c>
      <c r="O16" s="250">
        <v>18513</v>
      </c>
      <c r="P16" s="192">
        <f t="shared" si="5"/>
        <v>12190</v>
      </c>
      <c r="Q16" s="250">
        <v>16655</v>
      </c>
      <c r="R16" s="192">
        <f t="shared" si="6"/>
        <v>13430</v>
      </c>
      <c r="S16" s="250">
        <v>40303</v>
      </c>
      <c r="T16" s="192">
        <f t="shared" si="7"/>
        <v>28360</v>
      </c>
      <c r="U16" s="250">
        <v>27560</v>
      </c>
      <c r="V16" s="192">
        <f t="shared" si="11"/>
        <v>5186</v>
      </c>
      <c r="W16" s="250">
        <v>32223</v>
      </c>
      <c r="X16" s="192">
        <f t="shared" si="8"/>
        <v>23550</v>
      </c>
      <c r="Y16" s="250">
        <v>18579</v>
      </c>
      <c r="Z16" s="192">
        <f t="shared" si="9"/>
        <v>12840</v>
      </c>
      <c r="AA16" s="250">
        <v>38630</v>
      </c>
      <c r="AB16" s="192">
        <f t="shared" si="10"/>
        <v>27510</v>
      </c>
      <c r="AC16" s="266">
        <f t="shared" si="13"/>
        <v>411047.2663501599</v>
      </c>
      <c r="AD16" s="267">
        <v>0.076</v>
      </c>
      <c r="AE16" s="268">
        <f t="shared" si="12"/>
        <v>31239.59224261215</v>
      </c>
      <c r="AF16" s="269"/>
      <c r="AG16" s="255"/>
      <c r="AH16" s="256">
        <f t="shared" si="14"/>
        <v>287981.2663501599</v>
      </c>
      <c r="AI16" s="257">
        <f t="shared" si="15"/>
        <v>21886.57624261215</v>
      </c>
      <c r="AJ16" s="258">
        <f t="shared" si="16"/>
        <v>123066</v>
      </c>
      <c r="AK16" s="257">
        <f t="shared" si="17"/>
        <v>9353.016</v>
      </c>
    </row>
    <row r="17" spans="1:37" s="54" customFormat="1" ht="13.5" thickBot="1">
      <c r="A17" s="121">
        <v>37956</v>
      </c>
      <c r="B17" s="114">
        <v>38348</v>
      </c>
      <c r="C17" s="191">
        <v>2615</v>
      </c>
      <c r="D17" s="194">
        <f t="shared" si="18"/>
        <v>50600</v>
      </c>
      <c r="E17" s="191">
        <v>3683</v>
      </c>
      <c r="F17" s="194">
        <f>(E17-E16)*100</f>
        <v>42600</v>
      </c>
      <c r="G17" s="191">
        <v>4277</v>
      </c>
      <c r="H17" s="194">
        <f>(G17-G16)*100</f>
        <v>50400</v>
      </c>
      <c r="I17" s="191">
        <v>1581</v>
      </c>
      <c r="J17" s="194">
        <f>(I17-I16)*100</f>
        <v>49800</v>
      </c>
      <c r="K17" s="191">
        <v>6968</v>
      </c>
      <c r="L17" s="194">
        <f>(K17-K16)*100</f>
        <v>112000</v>
      </c>
      <c r="M17" s="191">
        <v>4417</v>
      </c>
      <c r="N17" s="194">
        <f>(M17-M16)*100</f>
        <v>84200</v>
      </c>
      <c r="O17" s="191">
        <v>20276</v>
      </c>
      <c r="P17" s="194">
        <f t="shared" si="5"/>
        <v>17630</v>
      </c>
      <c r="Q17" s="191">
        <v>18382</v>
      </c>
      <c r="R17" s="194">
        <f t="shared" si="6"/>
        <v>17270</v>
      </c>
      <c r="S17" s="191">
        <v>44103</v>
      </c>
      <c r="T17" s="194">
        <f t="shared" si="7"/>
        <v>38000</v>
      </c>
      <c r="U17" s="191">
        <v>34613</v>
      </c>
      <c r="V17" s="194">
        <f t="shared" si="11"/>
        <v>7053</v>
      </c>
      <c r="W17" s="191">
        <v>35406</v>
      </c>
      <c r="X17" s="194">
        <f t="shared" si="8"/>
        <v>31830</v>
      </c>
      <c r="Y17" s="250">
        <v>20303</v>
      </c>
      <c r="Z17" s="192">
        <f t="shared" si="9"/>
        <v>17240</v>
      </c>
      <c r="AA17" s="191">
        <v>42400</v>
      </c>
      <c r="AB17" s="194">
        <f t="shared" si="10"/>
        <v>37700</v>
      </c>
      <c r="AC17" s="266">
        <f t="shared" si="13"/>
        <v>522374.35936440266</v>
      </c>
      <c r="AD17" s="267">
        <v>0.076</v>
      </c>
      <c r="AE17" s="268">
        <f t="shared" si="12"/>
        <v>39700.451311694604</v>
      </c>
      <c r="AF17" s="270">
        <f>SUM(AE15:AE17)</f>
        <v>103525.47521751768</v>
      </c>
      <c r="AG17" s="255"/>
      <c r="AH17" s="256">
        <f t="shared" si="14"/>
        <v>355651.35936440266</v>
      </c>
      <c r="AI17" s="257">
        <f t="shared" si="15"/>
        <v>27029.5033116946</v>
      </c>
      <c r="AJ17" s="258">
        <f t="shared" si="16"/>
        <v>166723</v>
      </c>
      <c r="AK17" s="257">
        <f t="shared" si="17"/>
        <v>12670.948</v>
      </c>
    </row>
    <row r="18" spans="1:37" s="54" customFormat="1" ht="12.75">
      <c r="A18" s="127">
        <v>37987</v>
      </c>
      <c r="B18" s="114">
        <v>38015</v>
      </c>
      <c r="C18" s="263">
        <v>2933</v>
      </c>
      <c r="D18" s="264">
        <f t="shared" si="18"/>
        <v>31800</v>
      </c>
      <c r="E18" s="263">
        <v>3963</v>
      </c>
      <c r="F18" s="264">
        <f>(E18-E17)*100</f>
        <v>28000</v>
      </c>
      <c r="G18" s="263">
        <v>4593</v>
      </c>
      <c r="H18" s="264">
        <f>(G18-G17)*100</f>
        <v>31600</v>
      </c>
      <c r="I18" s="263">
        <v>1922</v>
      </c>
      <c r="J18" s="264">
        <f>(I18-I17)*100</f>
        <v>34100</v>
      </c>
      <c r="K18" s="263">
        <v>7846</v>
      </c>
      <c r="L18" s="264">
        <f>(K18-K17)*100</f>
        <v>87800</v>
      </c>
      <c r="M18" s="263">
        <v>4992</v>
      </c>
      <c r="N18" s="264">
        <f>(M18-M17)*100</f>
        <v>57500</v>
      </c>
      <c r="O18" s="263">
        <v>21889</v>
      </c>
      <c r="P18" s="264">
        <f t="shared" si="5"/>
        <v>16130</v>
      </c>
      <c r="Q18" s="263">
        <v>20065</v>
      </c>
      <c r="R18" s="264">
        <f t="shared" si="6"/>
        <v>16830</v>
      </c>
      <c r="S18" s="263">
        <v>47812</v>
      </c>
      <c r="T18" s="264">
        <f t="shared" si="7"/>
        <v>37090</v>
      </c>
      <c r="U18" s="263">
        <v>40118</v>
      </c>
      <c r="V18" s="264">
        <f t="shared" si="11"/>
        <v>5505</v>
      </c>
      <c r="W18" s="263">
        <v>38443</v>
      </c>
      <c r="X18" s="264">
        <f t="shared" si="8"/>
        <v>30370</v>
      </c>
      <c r="Y18" s="263">
        <v>21922</v>
      </c>
      <c r="Z18" s="264">
        <f t="shared" si="9"/>
        <v>16190</v>
      </c>
      <c r="AA18" s="263">
        <v>45919</v>
      </c>
      <c r="AB18" s="264">
        <f t="shared" si="10"/>
        <v>35190</v>
      </c>
      <c r="AC18" s="271">
        <f t="shared" si="13"/>
        <v>404157.1141362271</v>
      </c>
      <c r="AD18" s="272">
        <v>0.076</v>
      </c>
      <c r="AE18" s="273">
        <f t="shared" si="12"/>
        <v>30715.94067435326</v>
      </c>
      <c r="AF18" s="274"/>
      <c r="AG18" s="255"/>
      <c r="AH18" s="256">
        <f t="shared" si="14"/>
        <v>246852.11413622712</v>
      </c>
      <c r="AI18" s="257">
        <f t="shared" si="15"/>
        <v>18760.76067435326</v>
      </c>
      <c r="AJ18" s="258">
        <f t="shared" si="16"/>
        <v>157305</v>
      </c>
      <c r="AK18" s="257">
        <f t="shared" si="17"/>
        <v>11955.18</v>
      </c>
    </row>
    <row r="19" spans="1:37" s="54" customFormat="1" ht="12.75">
      <c r="A19" s="127">
        <v>38018</v>
      </c>
      <c r="B19" s="122">
        <v>38042</v>
      </c>
      <c r="C19" s="68">
        <v>3300</v>
      </c>
      <c r="D19" s="57">
        <f t="shared" si="18"/>
        <v>36700</v>
      </c>
      <c r="E19" s="58">
        <v>4271.7</v>
      </c>
      <c r="F19" s="59">
        <f>(E19-E18)*100</f>
        <v>30869.99999999998</v>
      </c>
      <c r="G19" s="58">
        <v>4927</v>
      </c>
      <c r="H19" s="59">
        <f>(G19-G18)*100</f>
        <v>33400</v>
      </c>
      <c r="I19" s="58">
        <v>2283</v>
      </c>
      <c r="J19" s="59">
        <f>(I19-I18)*100</f>
        <v>36100</v>
      </c>
      <c r="K19" s="58">
        <v>8744</v>
      </c>
      <c r="L19" s="59">
        <f>(K19-K18)*100</f>
        <v>89800</v>
      </c>
      <c r="M19" s="58">
        <v>5620</v>
      </c>
      <c r="N19" s="59">
        <f>(M19-M18)*100</f>
        <v>62800</v>
      </c>
      <c r="O19" s="58">
        <v>23217</v>
      </c>
      <c r="P19" s="59">
        <f t="shared" si="5"/>
        <v>13280</v>
      </c>
      <c r="Q19" s="58">
        <v>21522</v>
      </c>
      <c r="R19" s="59">
        <f t="shared" si="6"/>
        <v>14570</v>
      </c>
      <c r="S19" s="58">
        <v>50908</v>
      </c>
      <c r="T19" s="59">
        <f t="shared" si="7"/>
        <v>30960</v>
      </c>
      <c r="U19" s="58">
        <v>44605</v>
      </c>
      <c r="V19" s="59">
        <f>(U19-U18)</f>
        <v>4487</v>
      </c>
      <c r="W19" s="58">
        <v>40944</v>
      </c>
      <c r="X19" s="59">
        <f t="shared" si="8"/>
        <v>25010</v>
      </c>
      <c r="Y19" s="58">
        <v>23277</v>
      </c>
      <c r="Z19" s="59">
        <f t="shared" si="9"/>
        <v>13550</v>
      </c>
      <c r="AA19" s="58">
        <v>48847</v>
      </c>
      <c r="AB19" s="59">
        <f t="shared" si="10"/>
        <v>29280</v>
      </c>
      <c r="AC19" s="129">
        <f t="shared" si="13"/>
        <v>395163.7808351904</v>
      </c>
      <c r="AD19" s="145">
        <v>0.076</v>
      </c>
      <c r="AE19" s="130">
        <f t="shared" si="12"/>
        <v>30032.44734347447</v>
      </c>
      <c r="AF19" s="158"/>
      <c r="AG19" s="185"/>
      <c r="AH19" s="147">
        <f t="shared" si="14"/>
        <v>264026.7808351904</v>
      </c>
      <c r="AI19" s="186">
        <f t="shared" si="15"/>
        <v>20066.03534347447</v>
      </c>
      <c r="AJ19" s="187">
        <f t="shared" si="16"/>
        <v>131137</v>
      </c>
      <c r="AK19" s="186">
        <f t="shared" si="17"/>
        <v>9966.412</v>
      </c>
    </row>
    <row r="20" spans="1:37" s="76" customFormat="1" ht="13.5" thickBot="1">
      <c r="A20" s="127">
        <v>38047</v>
      </c>
      <c r="B20" s="122">
        <v>38069</v>
      </c>
      <c r="C20" s="191">
        <v>3626</v>
      </c>
      <c r="D20" s="194">
        <f t="shared" si="18"/>
        <v>32600</v>
      </c>
      <c r="E20" s="191">
        <v>4560.8</v>
      </c>
      <c r="F20" s="194">
        <f>(E20-E19)*100</f>
        <v>28910.000000000036</v>
      </c>
      <c r="G20" s="191">
        <v>5264</v>
      </c>
      <c r="H20" s="194">
        <f>(G20-G19)*100</f>
        <v>33700</v>
      </c>
      <c r="I20" s="191">
        <v>2623</v>
      </c>
      <c r="J20" s="194">
        <f>(I20-I19)*100</f>
        <v>34000</v>
      </c>
      <c r="K20" s="191">
        <v>9624</v>
      </c>
      <c r="L20" s="194">
        <f>(K20-K19)*100</f>
        <v>88000</v>
      </c>
      <c r="M20" s="191">
        <v>6249</v>
      </c>
      <c r="N20" s="194">
        <f>(M20-M19)*100</f>
        <v>62900</v>
      </c>
      <c r="O20" s="191">
        <v>24392</v>
      </c>
      <c r="P20" s="194">
        <f t="shared" si="5"/>
        <v>11750</v>
      </c>
      <c r="Q20" s="191">
        <v>22810</v>
      </c>
      <c r="R20" s="194">
        <f t="shared" si="6"/>
        <v>12880</v>
      </c>
      <c r="S20" s="191">
        <v>53714</v>
      </c>
      <c r="T20" s="194">
        <f t="shared" si="7"/>
        <v>28060</v>
      </c>
      <c r="U20" s="191">
        <v>48988</v>
      </c>
      <c r="V20" s="194">
        <f>(U20-U19)</f>
        <v>4383</v>
      </c>
      <c r="W20" s="191">
        <v>43195</v>
      </c>
      <c r="X20" s="194">
        <f t="shared" si="8"/>
        <v>22510</v>
      </c>
      <c r="Y20" s="191">
        <v>24452</v>
      </c>
      <c r="Z20" s="194">
        <f t="shared" si="9"/>
        <v>11750</v>
      </c>
      <c r="AA20" s="191">
        <v>51611</v>
      </c>
      <c r="AB20" s="194">
        <f t="shared" si="10"/>
        <v>27640</v>
      </c>
      <c r="AC20" s="275">
        <f t="shared" si="13"/>
        <v>374269.0328456545</v>
      </c>
      <c r="AD20" s="276">
        <v>0.076</v>
      </c>
      <c r="AE20" s="277">
        <f t="shared" si="12"/>
        <v>28444.446496269742</v>
      </c>
      <c r="AF20" s="278">
        <f>SUM(AE18:AE20)</f>
        <v>89192.83451409747</v>
      </c>
      <c r="AG20" s="255"/>
      <c r="AH20" s="256">
        <f t="shared" si="14"/>
        <v>255296.03284565452</v>
      </c>
      <c r="AI20" s="257">
        <f t="shared" si="15"/>
        <v>19402.49849626974</v>
      </c>
      <c r="AJ20" s="258">
        <f t="shared" si="16"/>
        <v>118973</v>
      </c>
      <c r="AK20" s="257">
        <f t="shared" si="17"/>
        <v>9041.948</v>
      </c>
    </row>
    <row r="21" spans="1:37" s="54" customFormat="1" ht="12.75">
      <c r="A21" s="121">
        <v>38078</v>
      </c>
      <c r="B21" s="114">
        <v>38104</v>
      </c>
      <c r="C21" s="263">
        <v>4072</v>
      </c>
      <c r="D21" s="264">
        <f t="shared" si="18"/>
        <v>44600</v>
      </c>
      <c r="E21" s="263">
        <v>4913</v>
      </c>
      <c r="F21" s="264">
        <f aca="true" t="shared" si="19" ref="F21:F38">(E21-E20)*100</f>
        <v>35219.999999999985</v>
      </c>
      <c r="G21" s="263">
        <v>5741</v>
      </c>
      <c r="H21" s="264">
        <f aca="true" t="shared" si="20" ref="H21:H39">(G21-G20)*100</f>
        <v>47700</v>
      </c>
      <c r="I21" s="263">
        <v>3048</v>
      </c>
      <c r="J21" s="264">
        <f aca="true" t="shared" si="21" ref="J21:J39">(I21-I20)*100</f>
        <v>42500</v>
      </c>
      <c r="K21" s="263">
        <v>10716</v>
      </c>
      <c r="L21" s="264">
        <f aca="true" t="shared" si="22" ref="L21:L39">(K21-K20)*100</f>
        <v>109200</v>
      </c>
      <c r="M21" s="263">
        <v>7060</v>
      </c>
      <c r="N21" s="264">
        <f aca="true" t="shared" si="23" ref="N21:N39">(M21-M20)*100</f>
        <v>81100</v>
      </c>
      <c r="O21" s="250">
        <v>25775</v>
      </c>
      <c r="P21" s="192">
        <f t="shared" si="5"/>
        <v>13830</v>
      </c>
      <c r="Q21" s="250">
        <v>24246</v>
      </c>
      <c r="R21" s="192">
        <f t="shared" si="6"/>
        <v>14360</v>
      </c>
      <c r="S21" s="263">
        <v>56954</v>
      </c>
      <c r="T21" s="264">
        <f>(S21-S20)*10</f>
        <v>32400</v>
      </c>
      <c r="U21" s="250">
        <v>53599</v>
      </c>
      <c r="V21" s="192">
        <f>(U21-U20)</f>
        <v>4611</v>
      </c>
      <c r="W21" s="263">
        <v>45865</v>
      </c>
      <c r="X21" s="264">
        <f>(W21-W20)*10</f>
        <v>26700</v>
      </c>
      <c r="Y21" s="250">
        <v>25689</v>
      </c>
      <c r="Z21" s="192">
        <f>(Y21-Y20)*10</f>
        <v>12370</v>
      </c>
      <c r="AA21" s="250">
        <v>54915</v>
      </c>
      <c r="AB21" s="192">
        <f>(AA21-AA20)*10</f>
        <v>33040</v>
      </c>
      <c r="AC21" s="271">
        <f t="shared" si="13"/>
        <v>466754.6449956399</v>
      </c>
      <c r="AD21" s="272">
        <v>0.076</v>
      </c>
      <c r="AE21" s="273">
        <f>AC21*AD21</f>
        <v>35473.35301966863</v>
      </c>
      <c r="AF21" s="274"/>
      <c r="AG21" s="255"/>
      <c r="AH21" s="256">
        <f t="shared" si="14"/>
        <v>329443.6449956399</v>
      </c>
      <c r="AI21" s="257">
        <f t="shared" si="15"/>
        <v>25037.717019668635</v>
      </c>
      <c r="AJ21" s="258">
        <f t="shared" si="16"/>
        <v>137311</v>
      </c>
      <c r="AK21" s="257">
        <f t="shared" si="17"/>
        <v>10435.636</v>
      </c>
    </row>
    <row r="22" spans="1:37" s="115" customFormat="1" ht="12.75">
      <c r="A22" s="127">
        <v>38108</v>
      </c>
      <c r="B22" s="122">
        <v>38133</v>
      </c>
      <c r="C22" s="250">
        <v>4251</v>
      </c>
      <c r="D22" s="192">
        <f t="shared" si="18"/>
        <v>17900</v>
      </c>
      <c r="E22" s="250">
        <v>5075</v>
      </c>
      <c r="F22" s="192">
        <f t="shared" si="19"/>
        <v>16200</v>
      </c>
      <c r="G22" s="250">
        <v>6042</v>
      </c>
      <c r="H22" s="192">
        <f t="shared" si="20"/>
        <v>30100</v>
      </c>
      <c r="I22" s="250">
        <v>3295</v>
      </c>
      <c r="J22" s="192">
        <f t="shared" si="21"/>
        <v>24700</v>
      </c>
      <c r="K22" s="250">
        <v>11426</v>
      </c>
      <c r="L22" s="192">
        <f t="shared" si="22"/>
        <v>71000</v>
      </c>
      <c r="M22" s="250">
        <v>7417</v>
      </c>
      <c r="N22" s="192">
        <f t="shared" si="23"/>
        <v>35700</v>
      </c>
      <c r="O22" s="250">
        <v>26704</v>
      </c>
      <c r="P22" s="192">
        <f t="shared" si="5"/>
        <v>9290</v>
      </c>
      <c r="Q22" s="250">
        <v>24924</v>
      </c>
      <c r="R22" s="192">
        <f t="shared" si="6"/>
        <v>6780</v>
      </c>
      <c r="S22" s="250" t="s">
        <v>84</v>
      </c>
      <c r="T22" s="57">
        <f>T10*1.03</f>
        <v>19859.429999999986</v>
      </c>
      <c r="U22" s="58">
        <v>57448</v>
      </c>
      <c r="V22" s="59">
        <f>(U22-U21)</f>
        <v>3849</v>
      </c>
      <c r="W22" s="58" t="s">
        <v>84</v>
      </c>
      <c r="X22" s="57">
        <f>X10*1.03</f>
        <v>15469.570000000016</v>
      </c>
      <c r="Y22" s="58">
        <v>26310</v>
      </c>
      <c r="Z22" s="59">
        <f>(Y22-Y21)*10</f>
        <v>6210</v>
      </c>
      <c r="AA22" s="58">
        <v>57003</v>
      </c>
      <c r="AB22" s="59">
        <f>(AA22-AA21)*10</f>
        <v>20880</v>
      </c>
      <c r="AC22" s="129">
        <f t="shared" si="13"/>
        <v>261819.08032167426</v>
      </c>
      <c r="AD22" s="145">
        <v>0.076</v>
      </c>
      <c r="AE22" s="130">
        <f t="shared" si="12"/>
        <v>19898.250104447245</v>
      </c>
      <c r="AF22" s="206"/>
      <c r="AG22" s="185"/>
      <c r="AH22" s="147">
        <f t="shared" si="14"/>
        <v>179481.08032167426</v>
      </c>
      <c r="AI22" s="186">
        <f t="shared" si="15"/>
        <v>13640.562104447245</v>
      </c>
      <c r="AJ22" s="187">
        <f t="shared" si="16"/>
        <v>82338</v>
      </c>
      <c r="AK22" s="186">
        <f t="shared" si="17"/>
        <v>6257.688</v>
      </c>
    </row>
    <row r="23" spans="1:37" s="54" customFormat="1" ht="13.5" thickBot="1">
      <c r="A23" s="127">
        <v>38139</v>
      </c>
      <c r="B23" s="122">
        <v>38161</v>
      </c>
      <c r="C23" s="191">
        <v>4413</v>
      </c>
      <c r="D23" s="194">
        <f t="shared" si="18"/>
        <v>16200</v>
      </c>
      <c r="E23" s="191">
        <v>5219.9</v>
      </c>
      <c r="F23" s="194">
        <f t="shared" si="19"/>
        <v>14489.999999999964</v>
      </c>
      <c r="G23" s="191">
        <v>6538</v>
      </c>
      <c r="H23" s="194">
        <f t="shared" si="20"/>
        <v>49600</v>
      </c>
      <c r="I23" s="191">
        <v>3518</v>
      </c>
      <c r="J23" s="194">
        <f t="shared" si="21"/>
        <v>22300</v>
      </c>
      <c r="K23" s="191">
        <v>12257</v>
      </c>
      <c r="L23" s="194">
        <f t="shared" si="22"/>
        <v>83100</v>
      </c>
      <c r="M23" s="191">
        <v>7899</v>
      </c>
      <c r="N23" s="194">
        <f t="shared" si="23"/>
        <v>48200</v>
      </c>
      <c r="O23" s="279">
        <v>27622</v>
      </c>
      <c r="P23" s="280">
        <f t="shared" si="5"/>
        <v>9180</v>
      </c>
      <c r="Q23" s="279">
        <v>25729</v>
      </c>
      <c r="R23" s="280">
        <f>(Q23-Q22)*10</f>
        <v>8050</v>
      </c>
      <c r="S23" s="191" t="s">
        <v>84</v>
      </c>
      <c r="T23" s="61">
        <f>T11*1.03</f>
        <v>24738.54000000003</v>
      </c>
      <c r="U23" s="281">
        <v>61829</v>
      </c>
      <c r="V23" s="282">
        <f>(U23-U22)*10</f>
        <v>43810</v>
      </c>
      <c r="W23" s="60" t="s">
        <v>84</v>
      </c>
      <c r="X23" s="61">
        <f>X11*1.03</f>
        <v>18722.309999999972</v>
      </c>
      <c r="Y23" s="281">
        <v>26867</v>
      </c>
      <c r="Z23" s="282">
        <f>(Y23-Y22)*10</f>
        <v>5570</v>
      </c>
      <c r="AA23" s="281">
        <v>59105</v>
      </c>
      <c r="AB23" s="282">
        <f>(AA23-AA22)*10</f>
        <v>21020</v>
      </c>
      <c r="AC23" s="283">
        <f t="shared" si="13"/>
        <v>346977.0940654976</v>
      </c>
      <c r="AD23" s="135">
        <v>0.076</v>
      </c>
      <c r="AE23" s="146">
        <f t="shared" si="12"/>
        <v>26370.259148977813</v>
      </c>
      <c r="AF23" s="137">
        <f>SUM(AE21:AE23)</f>
        <v>81741.86227309369</v>
      </c>
      <c r="AG23" s="185"/>
      <c r="AH23" s="147">
        <f t="shared" si="14"/>
        <v>215886.2440654975</v>
      </c>
      <c r="AI23" s="186">
        <f t="shared" si="15"/>
        <v>16407.35454897781</v>
      </c>
      <c r="AJ23" s="187">
        <f t="shared" si="16"/>
        <v>131090.85</v>
      </c>
      <c r="AK23" s="186">
        <f t="shared" si="17"/>
        <v>9962.9046</v>
      </c>
    </row>
    <row r="24" spans="1:37" s="54" customFormat="1" ht="12.75">
      <c r="A24" s="127">
        <v>38169</v>
      </c>
      <c r="B24" s="178">
        <v>38195</v>
      </c>
      <c r="C24" s="263">
        <v>4597</v>
      </c>
      <c r="D24" s="264">
        <f t="shared" si="18"/>
        <v>18400</v>
      </c>
      <c r="E24" s="263">
        <v>5408.7</v>
      </c>
      <c r="F24" s="264">
        <f t="shared" si="19"/>
        <v>18880.00000000002</v>
      </c>
      <c r="G24" s="263">
        <v>6768</v>
      </c>
      <c r="H24" s="264">
        <f t="shared" si="20"/>
        <v>23000</v>
      </c>
      <c r="I24" s="263">
        <v>3772</v>
      </c>
      <c r="J24" s="264">
        <f t="shared" si="21"/>
        <v>25400</v>
      </c>
      <c r="K24" s="263">
        <v>13342</v>
      </c>
      <c r="L24" s="264">
        <f t="shared" si="22"/>
        <v>108500</v>
      </c>
      <c r="M24" s="263">
        <v>8470</v>
      </c>
      <c r="N24" s="264">
        <f t="shared" si="23"/>
        <v>57100</v>
      </c>
      <c r="O24" s="263">
        <v>28818</v>
      </c>
      <c r="P24" s="264">
        <f t="shared" si="5"/>
        <v>11960</v>
      </c>
      <c r="Q24" s="263">
        <v>26932</v>
      </c>
      <c r="R24" s="264">
        <f>(Q24-Q23)*10</f>
        <v>12030</v>
      </c>
      <c r="S24" s="263" t="s">
        <v>84</v>
      </c>
      <c r="T24" s="65">
        <f>T12</f>
        <v>27566.99999999997</v>
      </c>
      <c r="U24" s="66">
        <v>67957</v>
      </c>
      <c r="V24" s="63">
        <f aca="true" t="shared" si="24" ref="V24:V38">(U24-U23)</f>
        <v>6128</v>
      </c>
      <c r="W24" s="66" t="s">
        <v>84</v>
      </c>
      <c r="X24" s="65">
        <f>X12</f>
        <v>20774.000000000015</v>
      </c>
      <c r="Y24" s="66">
        <v>27572</v>
      </c>
      <c r="Z24" s="63">
        <f>(Y24-Y23)*10</f>
        <v>7050</v>
      </c>
      <c r="AA24" s="66">
        <v>61703</v>
      </c>
      <c r="AB24" s="63">
        <f>(AA24-AA23)*10</f>
        <v>25980</v>
      </c>
      <c r="AC24" s="140">
        <f t="shared" si="13"/>
        <v>339858.6541032846</v>
      </c>
      <c r="AD24" s="205">
        <v>0.081</v>
      </c>
      <c r="AE24" s="130">
        <f>AC24*AD24</f>
        <v>27528.550982366054</v>
      </c>
      <c r="AF24" s="206"/>
      <c r="AG24" s="185"/>
      <c r="AH24" s="147">
        <f t="shared" si="14"/>
        <v>228369.65410328459</v>
      </c>
      <c r="AI24" s="186">
        <f t="shared" si="15"/>
        <v>18497.941982366054</v>
      </c>
      <c r="AJ24" s="187">
        <f t="shared" si="16"/>
        <v>111488.99999999999</v>
      </c>
      <c r="AK24" s="186">
        <f t="shared" si="17"/>
        <v>9030.608999999999</v>
      </c>
    </row>
    <row r="25" spans="1:37" s="54" customFormat="1" ht="12.75">
      <c r="A25" s="127">
        <v>38200</v>
      </c>
      <c r="B25" s="116">
        <v>38229</v>
      </c>
      <c r="C25" s="250">
        <v>4811</v>
      </c>
      <c r="D25" s="192">
        <f t="shared" si="18"/>
        <v>21400</v>
      </c>
      <c r="E25" s="250">
        <v>5586.4</v>
      </c>
      <c r="F25" s="192">
        <f t="shared" si="19"/>
        <v>17769.99999999998</v>
      </c>
      <c r="G25" s="250">
        <v>7170</v>
      </c>
      <c r="H25" s="192">
        <f t="shared" si="20"/>
        <v>40200</v>
      </c>
      <c r="I25" s="250">
        <v>4046</v>
      </c>
      <c r="J25" s="192">
        <f t="shared" si="21"/>
        <v>27400</v>
      </c>
      <c r="K25" s="250">
        <v>14384</v>
      </c>
      <c r="L25" s="192">
        <f t="shared" si="22"/>
        <v>104200</v>
      </c>
      <c r="M25" s="250">
        <v>8990</v>
      </c>
      <c r="N25" s="192">
        <f t="shared" si="23"/>
        <v>52000</v>
      </c>
      <c r="O25" s="250">
        <v>29979</v>
      </c>
      <c r="P25" s="192">
        <f t="shared" si="5"/>
        <v>11610</v>
      </c>
      <c r="Q25" s="250">
        <v>27988</v>
      </c>
      <c r="R25" s="192">
        <f>(Q25-Q24)*10</f>
        <v>10560</v>
      </c>
      <c r="S25" s="250" t="s">
        <v>84</v>
      </c>
      <c r="T25" s="57">
        <f aca="true" t="shared" si="25" ref="T25:T32">T13</f>
        <v>26624.000000000015</v>
      </c>
      <c r="U25" s="58">
        <v>74867</v>
      </c>
      <c r="V25" s="59">
        <f t="shared" si="24"/>
        <v>6910</v>
      </c>
      <c r="W25" s="58" t="s">
        <v>84</v>
      </c>
      <c r="X25" s="57">
        <f aca="true" t="shared" si="26" ref="X25:X32">X13</f>
        <v>20820.999999999985</v>
      </c>
      <c r="Y25" s="58">
        <v>28477</v>
      </c>
      <c r="Z25" s="59">
        <f>(Y25-Y24)*10</f>
        <v>9050</v>
      </c>
      <c r="AA25" s="58">
        <v>64449</v>
      </c>
      <c r="AB25" s="59">
        <f>(AA25-AA24)*10</f>
        <v>27460</v>
      </c>
      <c r="AC25" s="129">
        <f t="shared" si="13"/>
        <v>354408.00600716984</v>
      </c>
      <c r="AD25" s="207">
        <v>0.081</v>
      </c>
      <c r="AE25" s="130">
        <f aca="true" t="shared" si="27" ref="AE25:AE32">AC25*AD25</f>
        <v>28707.04848658076</v>
      </c>
      <c r="AF25" s="206"/>
      <c r="AG25" s="185"/>
      <c r="AH25" s="147">
        <f t="shared" si="14"/>
        <v>241373.00600716984</v>
      </c>
      <c r="AI25" s="186">
        <f t="shared" si="15"/>
        <v>19551.213486580757</v>
      </c>
      <c r="AJ25" s="187">
        <f t="shared" si="16"/>
        <v>113035</v>
      </c>
      <c r="AK25" s="186">
        <f t="shared" si="17"/>
        <v>9155.835000000001</v>
      </c>
    </row>
    <row r="26" spans="1:37" s="54" customFormat="1" ht="13.5" thickBot="1">
      <c r="A26" s="127">
        <v>38231</v>
      </c>
      <c r="B26" s="116">
        <v>38257</v>
      </c>
      <c r="C26" s="191">
        <v>5171</v>
      </c>
      <c r="D26" s="194">
        <f t="shared" si="18"/>
        <v>36000</v>
      </c>
      <c r="E26" s="191">
        <v>5842.1</v>
      </c>
      <c r="F26" s="194">
        <f t="shared" si="19"/>
        <v>25570.000000000073</v>
      </c>
      <c r="G26" s="191">
        <v>7665</v>
      </c>
      <c r="H26" s="194">
        <f t="shared" si="20"/>
        <v>49500</v>
      </c>
      <c r="I26" s="191">
        <v>4409</v>
      </c>
      <c r="J26" s="194">
        <f t="shared" si="21"/>
        <v>36300</v>
      </c>
      <c r="K26" s="191">
        <v>15470</v>
      </c>
      <c r="L26" s="194">
        <f t="shared" si="22"/>
        <v>108600</v>
      </c>
      <c r="M26" s="191">
        <v>9696</v>
      </c>
      <c r="N26" s="194">
        <f t="shared" si="23"/>
        <v>70600</v>
      </c>
      <c r="O26" s="250">
        <v>31563</v>
      </c>
      <c r="P26" s="192">
        <f t="shared" si="5"/>
        <v>15840</v>
      </c>
      <c r="Q26" s="250">
        <v>30018</v>
      </c>
      <c r="R26" s="192">
        <f>IF(Q26="",0,(Q26-Q25)*10)</f>
        <v>20300</v>
      </c>
      <c r="S26" s="191" t="s">
        <v>84</v>
      </c>
      <c r="T26" s="61">
        <f t="shared" si="25"/>
        <v>34410</v>
      </c>
      <c r="U26" s="58">
        <v>80156</v>
      </c>
      <c r="V26" s="59">
        <f t="shared" si="24"/>
        <v>5289</v>
      </c>
      <c r="W26" s="60" t="s">
        <v>84</v>
      </c>
      <c r="X26" s="61">
        <f t="shared" si="26"/>
        <v>27129.000000000015</v>
      </c>
      <c r="Y26" s="58">
        <v>29862</v>
      </c>
      <c r="Z26" s="59">
        <f>IF(Y26="",0,(Y26-Y25)*10)</f>
        <v>13850</v>
      </c>
      <c r="AA26" s="58">
        <v>68599</v>
      </c>
      <c r="AB26" s="59">
        <f>IF(AA26="",0,(AA26-AA25)*10)</f>
        <v>41500</v>
      </c>
      <c r="AC26" s="283">
        <f t="shared" si="13"/>
        <v>458367.45208797604</v>
      </c>
      <c r="AD26" s="128">
        <v>0.081</v>
      </c>
      <c r="AE26" s="146">
        <f t="shared" si="27"/>
        <v>37127.76361912606</v>
      </c>
      <c r="AF26" s="208">
        <f>SUM(AE24:AE26)</f>
        <v>93363.36308807287</v>
      </c>
      <c r="AG26" s="185"/>
      <c r="AH26" s="147">
        <f t="shared" si="14"/>
        <v>300049.45208797604</v>
      </c>
      <c r="AI26" s="186">
        <f t="shared" si="15"/>
        <v>24304.00561912606</v>
      </c>
      <c r="AJ26" s="187">
        <f t="shared" si="16"/>
        <v>158318</v>
      </c>
      <c r="AK26" s="186">
        <f t="shared" si="17"/>
        <v>12823.758</v>
      </c>
    </row>
    <row r="27" spans="1:37" s="54" customFormat="1" ht="12.75">
      <c r="A27" s="127">
        <v>38261</v>
      </c>
      <c r="B27" s="178">
        <v>38288</v>
      </c>
      <c r="C27" s="263">
        <v>5592</v>
      </c>
      <c r="D27" s="264">
        <f t="shared" si="18"/>
        <v>42100</v>
      </c>
      <c r="E27" s="263">
        <v>6155.1</v>
      </c>
      <c r="F27" s="264">
        <f t="shared" si="19"/>
        <v>31300</v>
      </c>
      <c r="G27" s="263">
        <v>8149</v>
      </c>
      <c r="H27" s="264">
        <f t="shared" si="20"/>
        <v>48400</v>
      </c>
      <c r="I27" s="263">
        <v>4844</v>
      </c>
      <c r="J27" s="264">
        <f t="shared" si="21"/>
        <v>43500</v>
      </c>
      <c r="K27" s="263">
        <v>16491</v>
      </c>
      <c r="L27" s="264">
        <f t="shared" si="22"/>
        <v>102100</v>
      </c>
      <c r="M27" s="263">
        <v>10493</v>
      </c>
      <c r="N27" s="264">
        <f t="shared" si="23"/>
        <v>79700</v>
      </c>
      <c r="O27" s="263">
        <v>32962</v>
      </c>
      <c r="P27" s="264">
        <f t="shared" si="5"/>
        <v>13990</v>
      </c>
      <c r="Q27" s="284">
        <v>31628</v>
      </c>
      <c r="R27" s="264">
        <f>(Q27-Q26)*10</f>
        <v>16100</v>
      </c>
      <c r="S27" s="263" t="s">
        <v>84</v>
      </c>
      <c r="T27" s="65">
        <f t="shared" si="25"/>
        <v>29960</v>
      </c>
      <c r="U27" s="66">
        <v>84887</v>
      </c>
      <c r="V27" s="63">
        <f t="shared" si="24"/>
        <v>4731</v>
      </c>
      <c r="W27" s="66" t="s">
        <v>84</v>
      </c>
      <c r="X27" s="65">
        <f t="shared" si="26"/>
        <v>24550</v>
      </c>
      <c r="Y27" s="66">
        <v>31065</v>
      </c>
      <c r="Z27" s="63">
        <f>(Y27-Y26)*10</f>
        <v>12030</v>
      </c>
      <c r="AA27" s="66">
        <v>72139</v>
      </c>
      <c r="AB27" s="63">
        <f>(AA27-AA26)*10</f>
        <v>35400</v>
      </c>
      <c r="AC27" s="140">
        <f t="shared" si="13"/>
        <v>455153.14901656815</v>
      </c>
      <c r="AD27" s="205">
        <v>0.081</v>
      </c>
      <c r="AE27" s="130">
        <f t="shared" si="27"/>
        <v>36867.40507034202</v>
      </c>
      <c r="AF27" s="206"/>
      <c r="AG27" s="185"/>
      <c r="AH27" s="147">
        <f t="shared" si="14"/>
        <v>318392.14901656815</v>
      </c>
      <c r="AI27" s="186">
        <f t="shared" si="15"/>
        <v>25789.764070342022</v>
      </c>
      <c r="AJ27" s="187">
        <f t="shared" si="16"/>
        <v>136761</v>
      </c>
      <c r="AK27" s="186">
        <f t="shared" si="17"/>
        <v>11077.641</v>
      </c>
    </row>
    <row r="28" spans="1:37" s="54" customFormat="1" ht="12.75">
      <c r="A28" s="127">
        <v>38292</v>
      </c>
      <c r="B28" s="122">
        <v>38320</v>
      </c>
      <c r="C28" s="250">
        <v>6012</v>
      </c>
      <c r="D28" s="192">
        <f t="shared" si="18"/>
        <v>42000</v>
      </c>
      <c r="E28" s="250">
        <v>6475</v>
      </c>
      <c r="F28" s="192">
        <f t="shared" si="19"/>
        <v>31989.999999999964</v>
      </c>
      <c r="G28" s="250">
        <v>8599</v>
      </c>
      <c r="H28" s="192">
        <f t="shared" si="20"/>
        <v>45000</v>
      </c>
      <c r="I28" s="250">
        <v>5274</v>
      </c>
      <c r="J28" s="192">
        <f t="shared" si="21"/>
        <v>43000</v>
      </c>
      <c r="K28" s="250">
        <v>17481</v>
      </c>
      <c r="L28" s="192">
        <f t="shared" si="22"/>
        <v>99000</v>
      </c>
      <c r="M28" s="250">
        <v>11259</v>
      </c>
      <c r="N28" s="192">
        <f t="shared" si="23"/>
        <v>76600</v>
      </c>
      <c r="O28" s="68">
        <v>34200</v>
      </c>
      <c r="P28" s="59">
        <f t="shared" si="5"/>
        <v>12380</v>
      </c>
      <c r="Q28" s="68">
        <v>33200</v>
      </c>
      <c r="R28" s="59">
        <f>(Q28-Q27)*10</f>
        <v>15720</v>
      </c>
      <c r="S28" s="58" t="s">
        <v>84</v>
      </c>
      <c r="T28" s="57">
        <f t="shared" si="25"/>
        <v>28360</v>
      </c>
      <c r="U28" s="68">
        <f>(U29-U27)/2+U27</f>
        <v>90823.5</v>
      </c>
      <c r="V28" s="59">
        <f t="shared" si="24"/>
        <v>5936.5</v>
      </c>
      <c r="W28" s="58" t="s">
        <v>84</v>
      </c>
      <c r="X28" s="57">
        <f t="shared" si="26"/>
        <v>23550</v>
      </c>
      <c r="Y28" s="68">
        <v>32200</v>
      </c>
      <c r="Z28" s="59">
        <f>(Y28-Y27)*10</f>
        <v>11350</v>
      </c>
      <c r="AA28" s="68">
        <v>75600</v>
      </c>
      <c r="AB28" s="59">
        <f>(AA28-AA27)*10</f>
        <v>34610</v>
      </c>
      <c r="AC28" s="129">
        <f t="shared" si="13"/>
        <v>441176.56540063943</v>
      </c>
      <c r="AD28" s="207">
        <v>0.081</v>
      </c>
      <c r="AE28" s="130">
        <f t="shared" si="27"/>
        <v>35735.30179745179</v>
      </c>
      <c r="AF28" s="206"/>
      <c r="AG28" s="185"/>
      <c r="AH28" s="147">
        <f t="shared" si="14"/>
        <v>309270.06540063943</v>
      </c>
      <c r="AI28" s="186">
        <f t="shared" si="15"/>
        <v>25050.875297451796</v>
      </c>
      <c r="AJ28" s="187">
        <f t="shared" si="16"/>
        <v>131906.5</v>
      </c>
      <c r="AK28" s="186">
        <f t="shared" si="17"/>
        <v>10684.4265</v>
      </c>
    </row>
    <row r="29" spans="1:37" s="115" customFormat="1" ht="13.5" thickBot="1">
      <c r="A29" s="127">
        <v>38322</v>
      </c>
      <c r="B29" s="114">
        <v>38355</v>
      </c>
      <c r="C29" s="191">
        <v>6374</v>
      </c>
      <c r="D29" s="194">
        <f t="shared" si="18"/>
        <v>36200</v>
      </c>
      <c r="E29" s="191">
        <v>6808</v>
      </c>
      <c r="F29" s="194">
        <f t="shared" si="19"/>
        <v>33300</v>
      </c>
      <c r="G29" s="191">
        <v>8979</v>
      </c>
      <c r="H29" s="194">
        <f t="shared" si="20"/>
        <v>38000</v>
      </c>
      <c r="I29" s="191">
        <v>5644</v>
      </c>
      <c r="J29" s="194">
        <f t="shared" si="21"/>
        <v>37000</v>
      </c>
      <c r="K29" s="191">
        <v>18405</v>
      </c>
      <c r="L29" s="194">
        <f t="shared" si="22"/>
        <v>92400</v>
      </c>
      <c r="M29" s="191">
        <v>11960</v>
      </c>
      <c r="N29" s="194">
        <f t="shared" si="23"/>
        <v>70100</v>
      </c>
      <c r="O29" s="250">
        <v>36201</v>
      </c>
      <c r="P29" s="192">
        <f t="shared" si="5"/>
        <v>20010</v>
      </c>
      <c r="Q29" s="250">
        <v>34864</v>
      </c>
      <c r="R29" s="192">
        <f>IF(Q29="",0,(Q29-Q28)*10)</f>
        <v>16640</v>
      </c>
      <c r="S29" s="191" t="s">
        <v>84</v>
      </c>
      <c r="T29" s="61">
        <f t="shared" si="25"/>
        <v>38000</v>
      </c>
      <c r="U29" s="58">
        <v>96760</v>
      </c>
      <c r="V29" s="59">
        <f t="shared" si="24"/>
        <v>5936.5</v>
      </c>
      <c r="W29" s="60" t="s">
        <v>84</v>
      </c>
      <c r="X29" s="61">
        <f t="shared" si="26"/>
        <v>31830</v>
      </c>
      <c r="Y29" s="58">
        <v>33901</v>
      </c>
      <c r="Z29" s="59">
        <f>IF(Y29="",0,(Y29-Y28)*10)</f>
        <v>17010</v>
      </c>
      <c r="AA29" s="58">
        <v>79244</v>
      </c>
      <c r="AB29" s="59">
        <f>IF(AA29="",0,(AA29-AA28)*10)</f>
        <v>36440</v>
      </c>
      <c r="AC29" s="129">
        <f t="shared" si="13"/>
        <v>445415.9428834415</v>
      </c>
      <c r="AD29" s="128">
        <v>0.081</v>
      </c>
      <c r="AE29" s="130">
        <f t="shared" si="27"/>
        <v>36078.691373558766</v>
      </c>
      <c r="AF29" s="131">
        <f>SUM(AE27:AE29)</f>
        <v>108681.39824135258</v>
      </c>
      <c r="AG29" s="185"/>
      <c r="AH29" s="147">
        <f t="shared" si="14"/>
        <v>279549.4428834415</v>
      </c>
      <c r="AI29" s="186">
        <f t="shared" si="15"/>
        <v>22643.504873558762</v>
      </c>
      <c r="AJ29" s="187">
        <f t="shared" si="16"/>
        <v>165866.5</v>
      </c>
      <c r="AK29" s="186">
        <f t="shared" si="17"/>
        <v>13435.1865</v>
      </c>
    </row>
    <row r="30" spans="1:37" s="54" customFormat="1" ht="12.75">
      <c r="A30" s="127">
        <v>38353</v>
      </c>
      <c r="B30" s="114">
        <v>38384</v>
      </c>
      <c r="C30" s="263">
        <v>6714</v>
      </c>
      <c r="D30" s="264">
        <f t="shared" si="18"/>
        <v>34000</v>
      </c>
      <c r="E30" s="263">
        <v>7118.7</v>
      </c>
      <c r="F30" s="264">
        <f t="shared" si="19"/>
        <v>31069.99999999998</v>
      </c>
      <c r="G30" s="263">
        <v>9345</v>
      </c>
      <c r="H30" s="264">
        <f t="shared" si="20"/>
        <v>36600</v>
      </c>
      <c r="I30" s="263">
        <v>5989</v>
      </c>
      <c r="J30" s="264">
        <f t="shared" si="21"/>
        <v>34500</v>
      </c>
      <c r="K30" s="263">
        <v>19300</v>
      </c>
      <c r="L30" s="264">
        <f t="shared" si="22"/>
        <v>89500</v>
      </c>
      <c r="M30" s="263">
        <v>12600</v>
      </c>
      <c r="N30" s="264">
        <f t="shared" si="23"/>
        <v>64000</v>
      </c>
      <c r="O30" s="263">
        <v>37758</v>
      </c>
      <c r="P30" s="264">
        <f t="shared" si="5"/>
        <v>15570</v>
      </c>
      <c r="Q30" s="263">
        <v>36575</v>
      </c>
      <c r="R30" s="264">
        <f aca="true" t="shared" si="28" ref="R30:R44">(Q30-Q29)*10</f>
        <v>17110</v>
      </c>
      <c r="S30" s="263" t="s">
        <v>84</v>
      </c>
      <c r="T30" s="65">
        <v>16100</v>
      </c>
      <c r="U30" s="66">
        <v>104481</v>
      </c>
      <c r="V30" s="63">
        <f t="shared" si="24"/>
        <v>7721</v>
      </c>
      <c r="W30" s="66" t="s">
        <v>84</v>
      </c>
      <c r="X30" s="65">
        <v>16100</v>
      </c>
      <c r="Y30" s="66">
        <v>35358</v>
      </c>
      <c r="Z30" s="63">
        <f aca="true" t="shared" si="29" ref="Z30:Z45">(Y30-Y29)*10</f>
        <v>14570</v>
      </c>
      <c r="AA30" s="66">
        <v>82516</v>
      </c>
      <c r="AB30" s="63">
        <f aca="true" t="shared" si="30" ref="AB30:AB45">(AA30-AA29)*10</f>
        <v>32720</v>
      </c>
      <c r="AC30" s="285">
        <f t="shared" si="13"/>
        <v>383760.5102218777</v>
      </c>
      <c r="AD30" s="145">
        <v>0.081</v>
      </c>
      <c r="AE30" s="144">
        <f t="shared" si="27"/>
        <v>31084.601327972097</v>
      </c>
      <c r="AF30" s="141"/>
      <c r="AG30" s="185"/>
      <c r="AH30" s="147">
        <f aca="true" t="shared" si="31" ref="AH30:AH59">D30+F30*$F$2+H30+J30+(L30+N30)*$K$3</f>
        <v>263869.5102218777</v>
      </c>
      <c r="AI30" s="186">
        <f aca="true" t="shared" si="32" ref="AI30:AI129">AH30*AD30</f>
        <v>21373.430327972095</v>
      </c>
      <c r="AJ30" s="187">
        <f aca="true" t="shared" si="33" ref="AJ30:AJ71">P30+R30+T30+V30+X30+Z30+AB30</f>
        <v>119891</v>
      </c>
      <c r="AK30" s="186">
        <f aca="true" t="shared" si="34" ref="AK30:AK129">AJ30*AD30</f>
        <v>9711.171</v>
      </c>
    </row>
    <row r="31" spans="1:37" s="54" customFormat="1" ht="12.75">
      <c r="A31" s="127">
        <v>38384</v>
      </c>
      <c r="B31" s="122">
        <v>38411</v>
      </c>
      <c r="C31" s="250">
        <v>7055</v>
      </c>
      <c r="D31" s="192">
        <f t="shared" si="18"/>
        <v>34100</v>
      </c>
      <c r="E31" s="68">
        <v>7375</v>
      </c>
      <c r="F31" s="59">
        <f t="shared" si="19"/>
        <v>25630.00000000002</v>
      </c>
      <c r="G31" s="58">
        <v>9708</v>
      </c>
      <c r="H31" s="59">
        <f t="shared" si="20"/>
        <v>36300</v>
      </c>
      <c r="I31" s="58">
        <v>6321</v>
      </c>
      <c r="J31" s="59">
        <f t="shared" si="21"/>
        <v>33200</v>
      </c>
      <c r="K31" s="58">
        <v>20206</v>
      </c>
      <c r="L31" s="59">
        <f t="shared" si="22"/>
        <v>90600</v>
      </c>
      <c r="M31" s="58">
        <v>13300</v>
      </c>
      <c r="N31" s="59">
        <f t="shared" si="23"/>
        <v>70000</v>
      </c>
      <c r="O31" s="68">
        <f>O30+(O32-O30)/2</f>
        <v>38958</v>
      </c>
      <c r="P31" s="57">
        <f t="shared" si="5"/>
        <v>12000</v>
      </c>
      <c r="Q31" s="68">
        <f>Q30+(Q32-Q30)/2</f>
        <v>37996</v>
      </c>
      <c r="R31" s="59">
        <f t="shared" si="28"/>
        <v>14210</v>
      </c>
      <c r="S31" s="58" t="s">
        <v>84</v>
      </c>
      <c r="T31" s="57">
        <f t="shared" si="25"/>
        <v>30960</v>
      </c>
      <c r="U31" s="68">
        <f>U30+(U32-U30)/2</f>
        <v>106834</v>
      </c>
      <c r="V31" s="59">
        <f t="shared" si="24"/>
        <v>2353</v>
      </c>
      <c r="W31" s="58" t="s">
        <v>84</v>
      </c>
      <c r="X31" s="57">
        <f t="shared" si="26"/>
        <v>25010</v>
      </c>
      <c r="Y31" s="68">
        <f>Y30+(Y32-Y30)/2</f>
        <v>36510.5</v>
      </c>
      <c r="Z31" s="59">
        <f t="shared" si="29"/>
        <v>11525</v>
      </c>
      <c r="AA31" s="68">
        <f>AA30+(AA32-AA30)/2</f>
        <v>85162.5</v>
      </c>
      <c r="AB31" s="59">
        <f t="shared" si="30"/>
        <v>26465</v>
      </c>
      <c r="AC31" s="129">
        <f t="shared" si="13"/>
        <v>387672.27090398216</v>
      </c>
      <c r="AD31" s="145">
        <v>0.081</v>
      </c>
      <c r="AE31" s="130">
        <f t="shared" si="27"/>
        <v>31401.453943222557</v>
      </c>
      <c r="AF31" s="158"/>
      <c r="AG31" s="185"/>
      <c r="AH31" s="147">
        <f t="shared" si="31"/>
        <v>265149.27090398216</v>
      </c>
      <c r="AI31" s="186">
        <f t="shared" si="32"/>
        <v>21477.090943222556</v>
      </c>
      <c r="AJ31" s="187">
        <f t="shared" si="33"/>
        <v>122523</v>
      </c>
      <c r="AK31" s="186">
        <f t="shared" si="34"/>
        <v>9924.363000000001</v>
      </c>
    </row>
    <row r="32" spans="1:37" s="54" customFormat="1" ht="13.5" thickBot="1">
      <c r="A32" s="127">
        <v>38412</v>
      </c>
      <c r="B32" s="122">
        <v>38433</v>
      </c>
      <c r="C32" s="191">
        <v>7322</v>
      </c>
      <c r="D32" s="194">
        <f t="shared" si="18"/>
        <v>26700</v>
      </c>
      <c r="E32" s="191">
        <v>7630.5</v>
      </c>
      <c r="F32" s="194">
        <f t="shared" si="19"/>
        <v>25550</v>
      </c>
      <c r="G32" s="191">
        <v>9970</v>
      </c>
      <c r="H32" s="194">
        <f t="shared" si="20"/>
        <v>26200</v>
      </c>
      <c r="I32" s="191">
        <v>6549</v>
      </c>
      <c r="J32" s="194">
        <f t="shared" si="21"/>
        <v>22800</v>
      </c>
      <c r="K32" s="191">
        <v>20828</v>
      </c>
      <c r="L32" s="194">
        <f t="shared" si="22"/>
        <v>62200</v>
      </c>
      <c r="M32" s="191">
        <v>13776</v>
      </c>
      <c r="N32" s="194">
        <f t="shared" si="23"/>
        <v>47600</v>
      </c>
      <c r="O32" s="250">
        <v>40158</v>
      </c>
      <c r="P32" s="192">
        <f t="shared" si="5"/>
        <v>12000</v>
      </c>
      <c r="Q32" s="250">
        <v>39417</v>
      </c>
      <c r="R32" s="192">
        <f t="shared" si="28"/>
        <v>14210</v>
      </c>
      <c r="S32" s="250" t="s">
        <v>84</v>
      </c>
      <c r="T32" s="57">
        <f t="shared" si="25"/>
        <v>28060</v>
      </c>
      <c r="U32" s="58">
        <v>109187</v>
      </c>
      <c r="V32" s="59">
        <f t="shared" si="24"/>
        <v>2353</v>
      </c>
      <c r="W32" s="58" t="s">
        <v>84</v>
      </c>
      <c r="X32" s="57">
        <f t="shared" si="26"/>
        <v>22510</v>
      </c>
      <c r="Y32" s="58">
        <v>37663</v>
      </c>
      <c r="Z32" s="59">
        <f t="shared" si="29"/>
        <v>11525</v>
      </c>
      <c r="AA32" s="58">
        <v>87809</v>
      </c>
      <c r="AB32" s="59">
        <f t="shared" si="30"/>
        <v>26465</v>
      </c>
      <c r="AC32" s="283">
        <f t="shared" si="13"/>
        <v>308599.17914930725</v>
      </c>
      <c r="AD32" s="145">
        <v>0.081</v>
      </c>
      <c r="AE32" s="146">
        <f t="shared" si="27"/>
        <v>24996.533511093887</v>
      </c>
      <c r="AF32" s="137">
        <f>SUM(AE30:AE32)</f>
        <v>87482.58878228854</v>
      </c>
      <c r="AG32" s="185"/>
      <c r="AH32" s="147">
        <f t="shared" si="31"/>
        <v>191476.17914930725</v>
      </c>
      <c r="AI32" s="186">
        <f t="shared" si="32"/>
        <v>15509.570511093887</v>
      </c>
      <c r="AJ32" s="187">
        <f t="shared" si="33"/>
        <v>117123</v>
      </c>
      <c r="AK32" s="186">
        <f t="shared" si="34"/>
        <v>9486.963</v>
      </c>
    </row>
    <row r="33" spans="1:37" s="54" customFormat="1" ht="12.75">
      <c r="A33" s="127">
        <v>38443</v>
      </c>
      <c r="B33" s="114">
        <v>38468</v>
      </c>
      <c r="C33" s="263">
        <v>7732</v>
      </c>
      <c r="D33" s="264">
        <f t="shared" si="18"/>
        <v>41000</v>
      </c>
      <c r="E33" s="263">
        <v>7959.7</v>
      </c>
      <c r="F33" s="264">
        <f>(E33-E32)*100</f>
        <v>32919.999999999985</v>
      </c>
      <c r="G33" s="263">
        <v>10446</v>
      </c>
      <c r="H33" s="264">
        <f t="shared" si="20"/>
        <v>47600</v>
      </c>
      <c r="I33" s="263">
        <v>6964</v>
      </c>
      <c r="J33" s="264">
        <f t="shared" si="21"/>
        <v>41500</v>
      </c>
      <c r="K33" s="263">
        <v>21880</v>
      </c>
      <c r="L33" s="264">
        <f t="shared" si="22"/>
        <v>105200</v>
      </c>
      <c r="M33" s="263">
        <v>14581</v>
      </c>
      <c r="N33" s="264">
        <f t="shared" si="23"/>
        <v>80500</v>
      </c>
      <c r="O33" s="263">
        <v>41532</v>
      </c>
      <c r="P33" s="264">
        <f t="shared" si="5"/>
        <v>13740</v>
      </c>
      <c r="Q33" s="263">
        <v>41260</v>
      </c>
      <c r="R33" s="264">
        <f t="shared" si="28"/>
        <v>18430</v>
      </c>
      <c r="S33" s="263" t="s">
        <v>84</v>
      </c>
      <c r="T33" s="65">
        <v>16100</v>
      </c>
      <c r="U33" s="66">
        <v>113542</v>
      </c>
      <c r="V33" s="63">
        <f t="shared" si="24"/>
        <v>4355</v>
      </c>
      <c r="W33" s="66" t="s">
        <v>84</v>
      </c>
      <c r="X33" s="65">
        <v>16100</v>
      </c>
      <c r="Y33" s="66">
        <v>38921</v>
      </c>
      <c r="Z33" s="63">
        <f t="shared" si="29"/>
        <v>12580</v>
      </c>
      <c r="AA33" s="66">
        <v>91206</v>
      </c>
      <c r="AB33" s="63">
        <f t="shared" si="30"/>
        <v>33970</v>
      </c>
      <c r="AC33" s="285">
        <f t="shared" si="13"/>
        <v>434352.25704873557</v>
      </c>
      <c r="AD33" s="205">
        <v>0.081</v>
      </c>
      <c r="AE33" s="144">
        <f aca="true" t="shared" si="35" ref="AE33:AE39">AC33*AD33</f>
        <v>35182.532820947585</v>
      </c>
      <c r="AF33" s="132"/>
      <c r="AG33" s="185"/>
      <c r="AH33" s="147">
        <f t="shared" si="31"/>
        <v>319077.25704873557</v>
      </c>
      <c r="AI33" s="186">
        <f t="shared" si="32"/>
        <v>25845.257820947583</v>
      </c>
      <c r="AJ33" s="187">
        <f t="shared" si="33"/>
        <v>115275</v>
      </c>
      <c r="AK33" s="186">
        <f t="shared" si="34"/>
        <v>9337.275</v>
      </c>
    </row>
    <row r="34" spans="1:37" s="54" customFormat="1" ht="12.75">
      <c r="A34" s="127">
        <v>38473</v>
      </c>
      <c r="B34" s="122">
        <v>38498</v>
      </c>
      <c r="C34" s="250">
        <v>7976</v>
      </c>
      <c r="D34" s="192">
        <f t="shared" si="18"/>
        <v>24400</v>
      </c>
      <c r="E34" s="68">
        <v>8125</v>
      </c>
      <c r="F34" s="59">
        <f t="shared" si="19"/>
        <v>16530.00000000002</v>
      </c>
      <c r="G34" s="58">
        <v>10732</v>
      </c>
      <c r="H34" s="59">
        <f t="shared" si="20"/>
        <v>28600</v>
      </c>
      <c r="I34" s="58">
        <v>7227</v>
      </c>
      <c r="J34" s="59">
        <f t="shared" si="21"/>
        <v>26300</v>
      </c>
      <c r="K34" s="58">
        <v>22411</v>
      </c>
      <c r="L34" s="59">
        <f t="shared" si="22"/>
        <v>53100</v>
      </c>
      <c r="M34" s="58">
        <v>14991</v>
      </c>
      <c r="N34" s="59">
        <f t="shared" si="23"/>
        <v>41000</v>
      </c>
      <c r="O34" s="58">
        <v>42432</v>
      </c>
      <c r="P34" s="59">
        <f t="shared" si="5"/>
        <v>9000</v>
      </c>
      <c r="Q34" s="58">
        <v>42307</v>
      </c>
      <c r="R34" s="59">
        <f t="shared" si="28"/>
        <v>10470</v>
      </c>
      <c r="S34" s="58" t="s">
        <v>84</v>
      </c>
      <c r="T34" s="57">
        <v>18000</v>
      </c>
      <c r="U34" s="58">
        <v>117459</v>
      </c>
      <c r="V34" s="59">
        <f t="shared" si="24"/>
        <v>3917</v>
      </c>
      <c r="W34" s="58" t="s">
        <v>84</v>
      </c>
      <c r="X34" s="57">
        <v>18000</v>
      </c>
      <c r="Y34" s="58">
        <v>39577</v>
      </c>
      <c r="Z34" s="59">
        <f t="shared" si="29"/>
        <v>6560</v>
      </c>
      <c r="AA34" s="58">
        <v>93584</v>
      </c>
      <c r="AB34" s="59">
        <f t="shared" si="30"/>
        <v>23780</v>
      </c>
      <c r="AC34" s="129">
        <f t="shared" si="13"/>
        <v>264687.08380970836</v>
      </c>
      <c r="AD34" s="207">
        <v>0.081</v>
      </c>
      <c r="AE34" s="130">
        <f t="shared" si="35"/>
        <v>21439.653788586376</v>
      </c>
      <c r="AF34" s="133"/>
      <c r="AG34" s="185"/>
      <c r="AH34" s="147">
        <f t="shared" si="31"/>
        <v>174960.08380970836</v>
      </c>
      <c r="AI34" s="186">
        <f t="shared" si="32"/>
        <v>14171.766788586378</v>
      </c>
      <c r="AJ34" s="187">
        <f t="shared" si="33"/>
        <v>89727</v>
      </c>
      <c r="AK34" s="186">
        <f t="shared" si="34"/>
        <v>7267.887000000001</v>
      </c>
    </row>
    <row r="35" spans="1:37" s="54" customFormat="1" ht="13.5" thickBot="1">
      <c r="A35" s="127">
        <v>38504</v>
      </c>
      <c r="B35" s="122">
        <v>38530</v>
      </c>
      <c r="C35" s="191">
        <v>8114</v>
      </c>
      <c r="D35" s="194">
        <f>IF(C35="",0,(C35-C34)*100)</f>
        <v>13800</v>
      </c>
      <c r="E35" s="191">
        <v>8312.4</v>
      </c>
      <c r="F35" s="194">
        <f t="shared" si="19"/>
        <v>18739.999999999964</v>
      </c>
      <c r="G35" s="191">
        <v>11105</v>
      </c>
      <c r="H35" s="194">
        <f t="shared" si="20"/>
        <v>37300</v>
      </c>
      <c r="I35" s="191">
        <v>7487</v>
      </c>
      <c r="J35" s="194">
        <f t="shared" si="21"/>
        <v>26000</v>
      </c>
      <c r="K35" s="191">
        <v>23139</v>
      </c>
      <c r="L35" s="194">
        <f t="shared" si="22"/>
        <v>72800</v>
      </c>
      <c r="M35" s="191">
        <v>15340</v>
      </c>
      <c r="N35" s="194">
        <f t="shared" si="23"/>
        <v>34900</v>
      </c>
      <c r="O35" s="250">
        <v>43331</v>
      </c>
      <c r="P35" s="192">
        <f t="shared" si="5"/>
        <v>8990</v>
      </c>
      <c r="Q35" s="250">
        <v>43122</v>
      </c>
      <c r="R35" s="192">
        <f t="shared" si="28"/>
        <v>8150</v>
      </c>
      <c r="S35" s="250" t="s">
        <v>84</v>
      </c>
      <c r="T35" s="57">
        <f>T11</f>
        <v>24018.00000000003</v>
      </c>
      <c r="U35" s="58">
        <v>122720</v>
      </c>
      <c r="V35" s="59">
        <f t="shared" si="24"/>
        <v>5261</v>
      </c>
      <c r="W35" s="58" t="s">
        <v>84</v>
      </c>
      <c r="X35" s="57">
        <f>X11</f>
        <v>18176.99999999997</v>
      </c>
      <c r="Y35" s="58">
        <v>39952</v>
      </c>
      <c r="Z35" s="59">
        <f t="shared" si="29"/>
        <v>3750</v>
      </c>
      <c r="AA35" s="58">
        <v>94789</v>
      </c>
      <c r="AB35" s="59">
        <f t="shared" si="30"/>
        <v>12050</v>
      </c>
      <c r="AC35" s="283">
        <f t="shared" si="13"/>
        <v>266862.7435326034</v>
      </c>
      <c r="AD35" s="128">
        <v>0.081</v>
      </c>
      <c r="AE35" s="146">
        <f t="shared" si="35"/>
        <v>21615.882226140875</v>
      </c>
      <c r="AF35" s="137">
        <f>SUM(AE33:AE35)</f>
        <v>78238.06883567484</v>
      </c>
      <c r="AG35" s="185"/>
      <c r="AH35" s="147">
        <f t="shared" si="31"/>
        <v>186466.7435326034</v>
      </c>
      <c r="AI35" s="186">
        <f t="shared" si="32"/>
        <v>15103.806226140876</v>
      </c>
      <c r="AJ35" s="187">
        <f t="shared" si="33"/>
        <v>80396</v>
      </c>
      <c r="AK35" s="186">
        <f t="shared" si="34"/>
        <v>6512.076</v>
      </c>
    </row>
    <row r="36" spans="1:37" s="54" customFormat="1" ht="12.75">
      <c r="A36" s="127">
        <v>38534</v>
      </c>
      <c r="B36" s="178">
        <v>38561</v>
      </c>
      <c r="C36" s="263">
        <v>8290</v>
      </c>
      <c r="D36" s="192">
        <f t="shared" si="18"/>
        <v>17600</v>
      </c>
      <c r="E36" s="263">
        <v>8495</v>
      </c>
      <c r="F36" s="264">
        <f t="shared" si="19"/>
        <v>18260.000000000036</v>
      </c>
      <c r="G36" s="263">
        <v>11501</v>
      </c>
      <c r="H36" s="264">
        <f t="shared" si="20"/>
        <v>39600</v>
      </c>
      <c r="I36" s="263">
        <v>7737</v>
      </c>
      <c r="J36" s="264">
        <f t="shared" si="21"/>
        <v>25000</v>
      </c>
      <c r="K36" s="263">
        <v>24053</v>
      </c>
      <c r="L36" s="264">
        <f t="shared" si="22"/>
        <v>91400</v>
      </c>
      <c r="M36" s="263">
        <v>15770</v>
      </c>
      <c r="N36" s="264">
        <f t="shared" si="23"/>
        <v>43000</v>
      </c>
      <c r="O36" s="263">
        <v>44594</v>
      </c>
      <c r="P36" s="264">
        <f t="shared" si="5"/>
        <v>12630</v>
      </c>
      <c r="Q36" s="263">
        <v>44333</v>
      </c>
      <c r="R36" s="264">
        <f t="shared" si="28"/>
        <v>12110</v>
      </c>
      <c r="S36" s="263" t="s">
        <v>84</v>
      </c>
      <c r="T36" s="65">
        <f>T12</f>
        <v>27566.99999999997</v>
      </c>
      <c r="U36" s="66">
        <v>129443</v>
      </c>
      <c r="V36" s="63">
        <f t="shared" si="24"/>
        <v>6723</v>
      </c>
      <c r="W36" s="66" t="s">
        <v>84</v>
      </c>
      <c r="X36" s="65">
        <f>X12</f>
        <v>20774.000000000015</v>
      </c>
      <c r="Y36" s="66">
        <v>40414</v>
      </c>
      <c r="Z36" s="63">
        <f t="shared" si="29"/>
        <v>4620</v>
      </c>
      <c r="AA36" s="66">
        <v>96557</v>
      </c>
      <c r="AB36" s="63">
        <f t="shared" si="30"/>
        <v>17680</v>
      </c>
      <c r="AC36" s="140">
        <f t="shared" si="13"/>
        <v>317382.1930045538</v>
      </c>
      <c r="AD36" s="205">
        <v>0.085</v>
      </c>
      <c r="AE36" s="130">
        <f t="shared" si="35"/>
        <v>26977.486405387073</v>
      </c>
      <c r="AF36" s="206"/>
      <c r="AG36" s="185"/>
      <c r="AH36" s="147">
        <f t="shared" si="31"/>
        <v>215278.19300455385</v>
      </c>
      <c r="AI36" s="186">
        <f t="shared" si="32"/>
        <v>18298.646405387077</v>
      </c>
      <c r="AJ36" s="187">
        <f t="shared" si="33"/>
        <v>102103.99999999999</v>
      </c>
      <c r="AK36" s="186">
        <f t="shared" si="34"/>
        <v>8678.84</v>
      </c>
    </row>
    <row r="37" spans="1:37" s="54" customFormat="1" ht="12.75">
      <c r="A37" s="127">
        <v>38565</v>
      </c>
      <c r="B37" s="116">
        <v>38593</v>
      </c>
      <c r="C37" s="250">
        <v>8460</v>
      </c>
      <c r="D37" s="192">
        <f t="shared" si="18"/>
        <v>17000</v>
      </c>
      <c r="E37" s="250">
        <v>8664</v>
      </c>
      <c r="F37" s="192">
        <f t="shared" si="19"/>
        <v>16900</v>
      </c>
      <c r="G37" s="250">
        <v>11906</v>
      </c>
      <c r="H37" s="192">
        <f t="shared" si="20"/>
        <v>40500</v>
      </c>
      <c r="I37" s="250">
        <v>8006</v>
      </c>
      <c r="J37" s="192">
        <f t="shared" si="21"/>
        <v>26900</v>
      </c>
      <c r="K37" s="250">
        <v>25056</v>
      </c>
      <c r="L37" s="192">
        <f t="shared" si="22"/>
        <v>100300</v>
      </c>
      <c r="M37" s="250">
        <v>16328</v>
      </c>
      <c r="N37" s="192">
        <f t="shared" si="23"/>
        <v>55800</v>
      </c>
      <c r="O37" s="250">
        <v>45860</v>
      </c>
      <c r="P37" s="192">
        <f t="shared" si="5"/>
        <v>12660</v>
      </c>
      <c r="Q37" s="250">
        <v>45476</v>
      </c>
      <c r="R37" s="192">
        <f t="shared" si="28"/>
        <v>11430</v>
      </c>
      <c r="S37" s="250" t="s">
        <v>84</v>
      </c>
      <c r="T37" s="57">
        <f>T13</f>
        <v>26624.000000000015</v>
      </c>
      <c r="U37" s="58">
        <v>136347</v>
      </c>
      <c r="V37" s="59">
        <f t="shared" si="24"/>
        <v>6904</v>
      </c>
      <c r="W37" s="58" t="s">
        <v>84</v>
      </c>
      <c r="X37" s="57">
        <f>X13</f>
        <v>20820.999999999985</v>
      </c>
      <c r="Y37" s="58">
        <v>41564</v>
      </c>
      <c r="Z37" s="59">
        <f t="shared" si="29"/>
        <v>11500</v>
      </c>
      <c r="AA37" s="58">
        <v>99715</v>
      </c>
      <c r="AB37" s="59">
        <f t="shared" si="30"/>
        <v>31580</v>
      </c>
      <c r="AC37" s="129">
        <f t="shared" si="13"/>
        <v>357624.63317507994</v>
      </c>
      <c r="AD37" s="207">
        <v>0.085</v>
      </c>
      <c r="AE37" s="130">
        <f t="shared" si="35"/>
        <v>30398.093819881797</v>
      </c>
      <c r="AF37" s="206"/>
      <c r="AG37" s="185"/>
      <c r="AH37" s="147">
        <f t="shared" si="31"/>
        <v>236105.63317507994</v>
      </c>
      <c r="AI37" s="186">
        <f t="shared" si="32"/>
        <v>20068.978819881795</v>
      </c>
      <c r="AJ37" s="187">
        <f t="shared" si="33"/>
        <v>121519</v>
      </c>
      <c r="AK37" s="186">
        <f t="shared" si="34"/>
        <v>10329.115000000002</v>
      </c>
    </row>
    <row r="38" spans="1:37" s="54" customFormat="1" ht="13.5" thickBot="1">
      <c r="A38" s="127">
        <v>38596</v>
      </c>
      <c r="B38" s="116">
        <v>38623</v>
      </c>
      <c r="C38" s="191">
        <v>8809</v>
      </c>
      <c r="D38" s="194">
        <f t="shared" si="18"/>
        <v>34900</v>
      </c>
      <c r="E38" s="191">
        <v>8957</v>
      </c>
      <c r="F38" s="194">
        <f t="shared" si="19"/>
        <v>29300</v>
      </c>
      <c r="G38" s="191">
        <v>12413</v>
      </c>
      <c r="H38" s="194">
        <f t="shared" si="20"/>
        <v>50700</v>
      </c>
      <c r="I38" s="191">
        <v>8401</v>
      </c>
      <c r="J38" s="194">
        <f t="shared" si="21"/>
        <v>39500</v>
      </c>
      <c r="K38" s="191">
        <v>26256</v>
      </c>
      <c r="L38" s="194">
        <f t="shared" si="22"/>
        <v>120000</v>
      </c>
      <c r="M38" s="191">
        <v>17072</v>
      </c>
      <c r="N38" s="194">
        <f t="shared" si="23"/>
        <v>74400</v>
      </c>
      <c r="O38" s="250">
        <v>47461</v>
      </c>
      <c r="P38" s="192">
        <f t="shared" si="5"/>
        <v>16010</v>
      </c>
      <c r="Q38" s="250">
        <v>47472</v>
      </c>
      <c r="R38" s="192">
        <f t="shared" si="28"/>
        <v>19960</v>
      </c>
      <c r="S38" s="250" t="s">
        <v>84</v>
      </c>
      <c r="T38" s="61">
        <f>T14</f>
        <v>34410</v>
      </c>
      <c r="U38" s="58">
        <v>143083</v>
      </c>
      <c r="V38" s="59">
        <f t="shared" si="24"/>
        <v>6736</v>
      </c>
      <c r="W38" s="58" t="s">
        <v>84</v>
      </c>
      <c r="X38" s="61">
        <f>X14</f>
        <v>27129.000000000015</v>
      </c>
      <c r="Y38" s="58">
        <v>43250</v>
      </c>
      <c r="Z38" s="59">
        <f t="shared" si="29"/>
        <v>16860</v>
      </c>
      <c r="AA38" s="58">
        <v>104059</v>
      </c>
      <c r="AB38" s="59">
        <f t="shared" si="30"/>
        <v>43440</v>
      </c>
      <c r="AC38" s="283">
        <f t="shared" si="13"/>
        <v>484049.8551496948</v>
      </c>
      <c r="AD38" s="128">
        <v>0.085</v>
      </c>
      <c r="AE38" s="146">
        <f t="shared" si="35"/>
        <v>41144.23768772406</v>
      </c>
      <c r="AF38" s="208">
        <f>SUM(AE36:AE38)</f>
        <v>98519.81791299293</v>
      </c>
      <c r="AG38" s="185"/>
      <c r="AH38" s="147">
        <f t="shared" si="31"/>
        <v>319504.8551496948</v>
      </c>
      <c r="AI38" s="186">
        <f t="shared" si="32"/>
        <v>27157.91268772406</v>
      </c>
      <c r="AJ38" s="187">
        <f t="shared" si="33"/>
        <v>164545</v>
      </c>
      <c r="AK38" s="186">
        <f t="shared" si="34"/>
        <v>13986.325</v>
      </c>
    </row>
    <row r="39" spans="1:37" s="54" customFormat="1" ht="12.75">
      <c r="A39" s="127">
        <v>38626</v>
      </c>
      <c r="B39" s="178">
        <v>38652</v>
      </c>
      <c r="C39" s="263">
        <v>9173</v>
      </c>
      <c r="D39" s="192">
        <f>IF(C39="","",((C39-C38)*100))</f>
        <v>36400</v>
      </c>
      <c r="E39" s="263"/>
      <c r="F39" s="286">
        <f>F40</f>
        <v>29350</v>
      </c>
      <c r="G39" s="287">
        <v>12821</v>
      </c>
      <c r="H39" s="288">
        <f t="shared" si="20"/>
        <v>40800</v>
      </c>
      <c r="I39" s="287">
        <v>8803</v>
      </c>
      <c r="J39" s="288">
        <f t="shared" si="21"/>
        <v>40200</v>
      </c>
      <c r="K39" s="287">
        <v>27258</v>
      </c>
      <c r="L39" s="288">
        <f t="shared" si="22"/>
        <v>100200</v>
      </c>
      <c r="M39" s="287">
        <v>17787</v>
      </c>
      <c r="N39" s="288">
        <f t="shared" si="23"/>
        <v>71500</v>
      </c>
      <c r="O39" s="287">
        <v>48818</v>
      </c>
      <c r="P39" s="288">
        <f t="shared" si="5"/>
        <v>13570</v>
      </c>
      <c r="Q39" s="289">
        <v>48918</v>
      </c>
      <c r="R39" s="288">
        <f t="shared" si="28"/>
        <v>14460</v>
      </c>
      <c r="S39" s="287" t="s">
        <v>84</v>
      </c>
      <c r="T39" s="286">
        <f aca="true" t="shared" si="36" ref="T39:T44">AB39</f>
        <v>33800</v>
      </c>
      <c r="U39" s="287">
        <v>147820</v>
      </c>
      <c r="V39" s="288">
        <f aca="true" t="shared" si="37" ref="V39:V44">(U39-U38)*1</f>
        <v>4737</v>
      </c>
      <c r="W39" s="287" t="s">
        <v>84</v>
      </c>
      <c r="X39" s="286">
        <f aca="true" t="shared" si="38" ref="X39:X44">AB39</f>
        <v>33800</v>
      </c>
      <c r="Y39" s="287">
        <v>44611</v>
      </c>
      <c r="Z39" s="288">
        <f t="shared" si="29"/>
        <v>13610</v>
      </c>
      <c r="AA39" s="287">
        <v>107439</v>
      </c>
      <c r="AB39" s="288">
        <f t="shared" si="30"/>
        <v>33800</v>
      </c>
      <c r="AC39" s="290">
        <f t="shared" si="13"/>
        <v>439185.03749636665</v>
      </c>
      <c r="AD39" s="291">
        <v>0.085</v>
      </c>
      <c r="AE39" s="292">
        <f t="shared" si="35"/>
        <v>37330.72818719117</v>
      </c>
      <c r="AF39" s="293"/>
      <c r="AG39" s="294"/>
      <c r="AH39" s="295">
        <f t="shared" si="31"/>
        <v>291408.03749636665</v>
      </c>
      <c r="AI39" s="296">
        <f t="shared" si="32"/>
        <v>24769.683187191167</v>
      </c>
      <c r="AJ39" s="297">
        <f t="shared" si="33"/>
        <v>147777</v>
      </c>
      <c r="AK39" s="296">
        <f t="shared" si="34"/>
        <v>12561.045</v>
      </c>
    </row>
    <row r="40" spans="1:37" s="54" customFormat="1" ht="12.75">
      <c r="A40" s="127">
        <v>38657</v>
      </c>
      <c r="B40" s="116">
        <v>38679</v>
      </c>
      <c r="C40" s="250"/>
      <c r="D40" s="57">
        <f>D41</f>
        <v>30800</v>
      </c>
      <c r="E40" s="58">
        <v>9544</v>
      </c>
      <c r="F40" s="57">
        <f>IF(E40="","",((E40-E38)*100/2))</f>
        <v>29350</v>
      </c>
      <c r="G40" s="58">
        <v>13133</v>
      </c>
      <c r="H40" s="59">
        <f aca="true" t="shared" si="39" ref="H40:H46">IF(G40="","",((G40-G39)*100))</f>
        <v>31200</v>
      </c>
      <c r="I40" s="58">
        <v>9180</v>
      </c>
      <c r="J40" s="59">
        <f aca="true" t="shared" si="40" ref="J40:J47">IF(I40="","",((I40-I39)*100))</f>
        <v>37700</v>
      </c>
      <c r="K40" s="58">
        <v>28149</v>
      </c>
      <c r="L40" s="59">
        <f aca="true" t="shared" si="41" ref="L40:L45">IF(K40="","",((K40-K39)*100))</f>
        <v>89100</v>
      </c>
      <c r="M40" s="58">
        <v>18438</v>
      </c>
      <c r="N40" s="59">
        <f aca="true" t="shared" si="42" ref="N40:N47">IF(M40="","",((M40-M39)*100))</f>
        <v>65100</v>
      </c>
      <c r="O40" s="58">
        <v>50005</v>
      </c>
      <c r="P40" s="59">
        <f t="shared" si="5"/>
        <v>11870</v>
      </c>
      <c r="Q40" s="58">
        <v>50196</v>
      </c>
      <c r="R40" s="59">
        <f t="shared" si="28"/>
        <v>12780</v>
      </c>
      <c r="S40" s="58" t="s">
        <v>84</v>
      </c>
      <c r="T40" s="298">
        <f t="shared" si="36"/>
        <v>26680</v>
      </c>
      <c r="U40" s="299">
        <v>151318</v>
      </c>
      <c r="V40" s="300">
        <f t="shared" si="37"/>
        <v>3498</v>
      </c>
      <c r="W40" s="299" t="s">
        <v>84</v>
      </c>
      <c r="X40" s="298">
        <f t="shared" si="38"/>
        <v>26680</v>
      </c>
      <c r="Y40" s="299">
        <v>45690</v>
      </c>
      <c r="Z40" s="300">
        <f t="shared" si="29"/>
        <v>10790</v>
      </c>
      <c r="AA40" s="299">
        <v>110107</v>
      </c>
      <c r="AB40" s="300">
        <f t="shared" si="30"/>
        <v>26680</v>
      </c>
      <c r="AC40" s="301">
        <f t="shared" si="13"/>
        <v>376936.03749636665</v>
      </c>
      <c r="AD40" s="302">
        <v>0.085</v>
      </c>
      <c r="AE40" s="292">
        <f>IF(AC40="","",AC40*AD40)</f>
        <v>32039.56318719117</v>
      </c>
      <c r="AF40" s="293"/>
      <c r="AG40" s="294"/>
      <c r="AH40" s="295">
        <f t="shared" si="31"/>
        <v>257958.03749636663</v>
      </c>
      <c r="AI40" s="296">
        <f t="shared" si="32"/>
        <v>21926.433187191164</v>
      </c>
      <c r="AJ40" s="297">
        <f t="shared" si="33"/>
        <v>118978</v>
      </c>
      <c r="AK40" s="296">
        <f t="shared" si="34"/>
        <v>10113.130000000001</v>
      </c>
    </row>
    <row r="41" spans="1:37" s="54" customFormat="1" ht="13.5" thickBot="1">
      <c r="A41" s="127">
        <v>38687</v>
      </c>
      <c r="B41" s="116">
        <v>38701</v>
      </c>
      <c r="C41" s="191">
        <v>9789</v>
      </c>
      <c r="D41" s="61">
        <f>IF(C41="","",((C41-C39)*100)/2)</f>
        <v>30800</v>
      </c>
      <c r="E41" s="60">
        <v>9781</v>
      </c>
      <c r="F41" s="70">
        <f>IF(E41="","",((E41-E40)*100))</f>
        <v>23700</v>
      </c>
      <c r="G41" s="60">
        <v>13357</v>
      </c>
      <c r="H41" s="70">
        <f t="shared" si="39"/>
        <v>22400</v>
      </c>
      <c r="I41" s="60">
        <v>9476</v>
      </c>
      <c r="J41" s="70">
        <f t="shared" si="40"/>
        <v>29600</v>
      </c>
      <c r="K41" s="60">
        <v>28819</v>
      </c>
      <c r="L41" s="70">
        <f t="shared" si="41"/>
        <v>67000</v>
      </c>
      <c r="M41" s="60">
        <v>18940</v>
      </c>
      <c r="N41" s="70">
        <f t="shared" si="42"/>
        <v>50200</v>
      </c>
      <c r="O41" s="58">
        <v>51127</v>
      </c>
      <c r="P41" s="59">
        <f t="shared" si="5"/>
        <v>11220</v>
      </c>
      <c r="Q41" s="58">
        <v>51311</v>
      </c>
      <c r="R41" s="59">
        <f t="shared" si="28"/>
        <v>11150</v>
      </c>
      <c r="S41" s="58" t="s">
        <v>84</v>
      </c>
      <c r="T41" s="303">
        <f t="shared" si="36"/>
        <v>23720</v>
      </c>
      <c r="U41" s="299">
        <v>155040</v>
      </c>
      <c r="V41" s="304">
        <f t="shared" si="37"/>
        <v>3722</v>
      </c>
      <c r="W41" s="299" t="s">
        <v>84</v>
      </c>
      <c r="X41" s="303">
        <f t="shared" si="38"/>
        <v>23720</v>
      </c>
      <c r="Y41" s="299">
        <v>46644</v>
      </c>
      <c r="Z41" s="300">
        <f t="shared" si="29"/>
        <v>9540</v>
      </c>
      <c r="AA41" s="299">
        <v>112479</v>
      </c>
      <c r="AB41" s="300">
        <f t="shared" si="30"/>
        <v>23720</v>
      </c>
      <c r="AC41" s="305">
        <f t="shared" si="13"/>
        <v>310800.4323224494</v>
      </c>
      <c r="AD41" s="306">
        <v>0.085</v>
      </c>
      <c r="AE41" s="307">
        <f aca="true" t="shared" si="43" ref="AE41:AE47">IF(AC41="","",AC41*AD41)</f>
        <v>26418.0367474082</v>
      </c>
      <c r="AF41" s="308">
        <f>SUM(AE39:AE41)</f>
        <v>95788.32812179053</v>
      </c>
      <c r="AG41" s="294"/>
      <c r="AH41" s="295">
        <f t="shared" si="31"/>
        <v>204008.43232244937</v>
      </c>
      <c r="AI41" s="296">
        <f t="shared" si="32"/>
        <v>17340.716747408198</v>
      </c>
      <c r="AJ41" s="297">
        <f t="shared" si="33"/>
        <v>106792</v>
      </c>
      <c r="AK41" s="296">
        <f t="shared" si="34"/>
        <v>9077.320000000002</v>
      </c>
    </row>
    <row r="42" spans="1:37" s="54" customFormat="1" ht="12.75">
      <c r="A42" s="127">
        <v>38718</v>
      </c>
      <c r="B42" s="178">
        <v>38736</v>
      </c>
      <c r="C42" s="263">
        <v>10162</v>
      </c>
      <c r="D42" s="192">
        <f aca="true" t="shared" si="44" ref="D42:D59">(C42-C41)*100</f>
        <v>37300</v>
      </c>
      <c r="E42" s="263">
        <v>10098</v>
      </c>
      <c r="F42" s="264">
        <f>(E42-E41)*100</f>
        <v>31700</v>
      </c>
      <c r="G42" s="263">
        <v>13648</v>
      </c>
      <c r="H42" s="264">
        <f t="shared" si="39"/>
        <v>29100</v>
      </c>
      <c r="I42" s="263">
        <v>9873</v>
      </c>
      <c r="J42" s="264">
        <f t="shared" si="40"/>
        <v>39700</v>
      </c>
      <c r="K42" s="263">
        <v>29662</v>
      </c>
      <c r="L42" s="264">
        <f t="shared" si="41"/>
        <v>84300</v>
      </c>
      <c r="M42" s="263">
        <v>19616</v>
      </c>
      <c r="N42" s="264">
        <f t="shared" si="42"/>
        <v>67600</v>
      </c>
      <c r="O42" s="263">
        <v>52261</v>
      </c>
      <c r="P42" s="264">
        <f t="shared" si="5"/>
        <v>11340</v>
      </c>
      <c r="Q42" s="284">
        <v>52818</v>
      </c>
      <c r="R42" s="264">
        <f t="shared" si="28"/>
        <v>15070</v>
      </c>
      <c r="S42" s="263" t="s">
        <v>84</v>
      </c>
      <c r="T42" s="286">
        <f t="shared" si="36"/>
        <v>36150</v>
      </c>
      <c r="U42" s="287">
        <v>161680</v>
      </c>
      <c r="V42" s="288">
        <f t="shared" si="37"/>
        <v>6640</v>
      </c>
      <c r="W42" s="287" t="s">
        <v>84</v>
      </c>
      <c r="X42" s="286">
        <f t="shared" si="38"/>
        <v>36150</v>
      </c>
      <c r="Y42" s="287">
        <v>47989</v>
      </c>
      <c r="Z42" s="288">
        <f t="shared" si="29"/>
        <v>13450</v>
      </c>
      <c r="AA42" s="287">
        <v>116094</v>
      </c>
      <c r="AB42" s="288">
        <f t="shared" si="30"/>
        <v>36150</v>
      </c>
      <c r="AC42" s="290">
        <f t="shared" si="13"/>
        <v>418797.6077899428</v>
      </c>
      <c r="AD42" s="291">
        <v>0.085</v>
      </c>
      <c r="AE42" s="292">
        <f t="shared" si="43"/>
        <v>35597.79666214514</v>
      </c>
      <c r="AF42" s="293"/>
      <c r="AG42" s="294"/>
      <c r="AH42" s="295">
        <f t="shared" si="31"/>
        <v>263847.6077899428</v>
      </c>
      <c r="AI42" s="296">
        <f t="shared" si="32"/>
        <v>22427.04666214514</v>
      </c>
      <c r="AJ42" s="297">
        <f t="shared" si="33"/>
        <v>154950</v>
      </c>
      <c r="AK42" s="296">
        <f t="shared" si="34"/>
        <v>13170.750000000002</v>
      </c>
    </row>
    <row r="43" spans="1:37" s="54" customFormat="1" ht="12.75">
      <c r="A43" s="127">
        <v>38749</v>
      </c>
      <c r="B43" s="116">
        <v>38764</v>
      </c>
      <c r="C43" s="250">
        <v>10484</v>
      </c>
      <c r="D43" s="192">
        <f t="shared" si="44"/>
        <v>32200</v>
      </c>
      <c r="E43" s="250">
        <v>10393</v>
      </c>
      <c r="F43" s="192">
        <f>(E43-E42)*100</f>
        <v>29500</v>
      </c>
      <c r="G43" s="250">
        <v>13952</v>
      </c>
      <c r="H43" s="192">
        <f t="shared" si="39"/>
        <v>30400</v>
      </c>
      <c r="I43" s="250">
        <v>10251</v>
      </c>
      <c r="J43" s="192">
        <f t="shared" si="40"/>
        <v>37800</v>
      </c>
      <c r="K43" s="250">
        <v>30598</v>
      </c>
      <c r="L43" s="192">
        <f t="shared" si="41"/>
        <v>93600</v>
      </c>
      <c r="M43" s="250">
        <v>20275</v>
      </c>
      <c r="N43" s="192">
        <f t="shared" si="42"/>
        <v>65900</v>
      </c>
      <c r="O43" s="250">
        <v>53827</v>
      </c>
      <c r="P43" s="192">
        <f t="shared" si="5"/>
        <v>15660</v>
      </c>
      <c r="Q43" s="250">
        <v>54136</v>
      </c>
      <c r="R43" s="192">
        <f t="shared" si="28"/>
        <v>13180</v>
      </c>
      <c r="S43" s="250" t="s">
        <v>84</v>
      </c>
      <c r="T43" s="298">
        <f t="shared" si="36"/>
        <v>27660</v>
      </c>
      <c r="U43" s="299">
        <v>166190</v>
      </c>
      <c r="V43" s="300">
        <f t="shared" si="37"/>
        <v>4510</v>
      </c>
      <c r="W43" s="299" t="s">
        <v>84</v>
      </c>
      <c r="X43" s="298">
        <f t="shared" si="38"/>
        <v>27660</v>
      </c>
      <c r="Y43" s="299">
        <v>49020</v>
      </c>
      <c r="Z43" s="300">
        <f t="shared" si="29"/>
        <v>10310</v>
      </c>
      <c r="AA43" s="299">
        <v>118860</v>
      </c>
      <c r="AB43" s="300">
        <f t="shared" si="30"/>
        <v>27660</v>
      </c>
      <c r="AC43" s="301">
        <f t="shared" si="13"/>
        <v>390167.5845363821</v>
      </c>
      <c r="AD43" s="302">
        <v>0.085</v>
      </c>
      <c r="AE43" s="292">
        <f t="shared" si="43"/>
        <v>33164.24468559248</v>
      </c>
      <c r="AF43" s="293"/>
      <c r="AG43" s="294"/>
      <c r="AH43" s="295">
        <f t="shared" si="31"/>
        <v>263527.5845363821</v>
      </c>
      <c r="AI43" s="296">
        <f t="shared" si="32"/>
        <v>22399.84468559248</v>
      </c>
      <c r="AJ43" s="297">
        <f t="shared" si="33"/>
        <v>126640</v>
      </c>
      <c r="AK43" s="296">
        <f t="shared" si="34"/>
        <v>10764.400000000001</v>
      </c>
    </row>
    <row r="44" spans="1:37" s="54" customFormat="1" ht="13.5" thickBot="1">
      <c r="A44" s="127">
        <v>38777</v>
      </c>
      <c r="B44" s="122">
        <v>38791</v>
      </c>
      <c r="C44" s="191">
        <v>10780</v>
      </c>
      <c r="D44" s="194">
        <f t="shared" si="44"/>
        <v>29600</v>
      </c>
      <c r="E44" s="191">
        <v>10656</v>
      </c>
      <c r="F44" s="194">
        <f>(E44-E43)*100</f>
        <v>26300</v>
      </c>
      <c r="G44" s="191">
        <v>14220</v>
      </c>
      <c r="H44" s="194">
        <f t="shared" si="39"/>
        <v>26800</v>
      </c>
      <c r="I44" s="191">
        <v>10568</v>
      </c>
      <c r="J44" s="194">
        <f t="shared" si="40"/>
        <v>31700</v>
      </c>
      <c r="K44" s="191">
        <v>31393</v>
      </c>
      <c r="L44" s="194">
        <f t="shared" si="41"/>
        <v>79500</v>
      </c>
      <c r="M44" s="191">
        <v>20887</v>
      </c>
      <c r="N44" s="194">
        <f t="shared" si="42"/>
        <v>61200</v>
      </c>
      <c r="O44" s="250">
        <v>54950</v>
      </c>
      <c r="P44" s="192">
        <f t="shared" si="5"/>
        <v>11230</v>
      </c>
      <c r="Q44" s="250">
        <v>55335</v>
      </c>
      <c r="R44" s="192">
        <f t="shared" si="28"/>
        <v>11990</v>
      </c>
      <c r="S44" s="250" t="s">
        <v>84</v>
      </c>
      <c r="T44" s="303">
        <f t="shared" si="36"/>
        <v>25800</v>
      </c>
      <c r="U44" s="299">
        <v>170417</v>
      </c>
      <c r="V44" s="304">
        <f t="shared" si="37"/>
        <v>4227</v>
      </c>
      <c r="W44" s="299" t="s">
        <v>84</v>
      </c>
      <c r="X44" s="303">
        <f t="shared" si="38"/>
        <v>25800</v>
      </c>
      <c r="Y44" s="299">
        <v>49970</v>
      </c>
      <c r="Z44" s="300">
        <f t="shared" si="29"/>
        <v>9500</v>
      </c>
      <c r="AA44" s="299">
        <v>121440</v>
      </c>
      <c r="AB44" s="300">
        <f t="shared" si="30"/>
        <v>25800</v>
      </c>
      <c r="AC44" s="305">
        <f t="shared" si="13"/>
        <v>346530.9143493847</v>
      </c>
      <c r="AD44" s="306">
        <v>0.085</v>
      </c>
      <c r="AE44" s="307">
        <f t="shared" si="43"/>
        <v>29455.127719697703</v>
      </c>
      <c r="AF44" s="308">
        <f>SUM(AE42:AE44)</f>
        <v>98217.16906743533</v>
      </c>
      <c r="AG44" s="294"/>
      <c r="AH44" s="295">
        <f t="shared" si="31"/>
        <v>232183.91434938475</v>
      </c>
      <c r="AI44" s="296">
        <f t="shared" si="32"/>
        <v>19735.632719697704</v>
      </c>
      <c r="AJ44" s="297">
        <f t="shared" si="33"/>
        <v>114347</v>
      </c>
      <c r="AK44" s="296">
        <f t="shared" si="34"/>
        <v>9719.495</v>
      </c>
    </row>
    <row r="45" spans="1:37" s="54" customFormat="1" ht="12.75">
      <c r="A45" s="127">
        <v>38808</v>
      </c>
      <c r="B45" s="178">
        <v>38824</v>
      </c>
      <c r="C45" s="263">
        <v>11164</v>
      </c>
      <c r="D45" s="192">
        <f t="shared" si="44"/>
        <v>38400</v>
      </c>
      <c r="E45" s="263">
        <v>10980.4</v>
      </c>
      <c r="F45" s="264">
        <f>(E45-E44)*100</f>
        <v>32439.999999999964</v>
      </c>
      <c r="G45" s="263">
        <v>14572</v>
      </c>
      <c r="H45" s="264">
        <f t="shared" si="39"/>
        <v>35200</v>
      </c>
      <c r="I45" s="263">
        <v>10965</v>
      </c>
      <c r="J45" s="264">
        <f t="shared" si="40"/>
        <v>39700</v>
      </c>
      <c r="K45" s="263">
        <v>32401</v>
      </c>
      <c r="L45" s="264">
        <f t="shared" si="41"/>
        <v>100800</v>
      </c>
      <c r="M45" s="263">
        <v>21628</v>
      </c>
      <c r="N45" s="264">
        <f t="shared" si="42"/>
        <v>74100</v>
      </c>
      <c r="O45" s="263">
        <v>56247</v>
      </c>
      <c r="P45" s="264">
        <f t="shared" si="5"/>
        <v>12970</v>
      </c>
      <c r="Q45" s="284">
        <v>56779</v>
      </c>
      <c r="R45" s="264">
        <f>(Q45-Q44)*10</f>
        <v>14440</v>
      </c>
      <c r="S45" s="263" t="s">
        <v>84</v>
      </c>
      <c r="T45" s="286">
        <f>$P45</f>
        <v>12970</v>
      </c>
      <c r="U45" s="287">
        <v>174959</v>
      </c>
      <c r="V45" s="288">
        <f aca="true" t="shared" si="45" ref="V45:V54">(U45-U44)*10</f>
        <v>45420</v>
      </c>
      <c r="W45" s="287" t="s">
        <v>84</v>
      </c>
      <c r="X45" s="286">
        <f>$P45</f>
        <v>12970</v>
      </c>
      <c r="Y45" s="287">
        <v>51043</v>
      </c>
      <c r="Z45" s="288">
        <f t="shared" si="29"/>
        <v>10730</v>
      </c>
      <c r="AA45" s="287">
        <v>124449</v>
      </c>
      <c r="AB45" s="288">
        <f t="shared" si="30"/>
        <v>30090</v>
      </c>
      <c r="AC45" s="290">
        <f t="shared" si="13"/>
        <v>431828.7065206859</v>
      </c>
      <c r="AD45" s="291">
        <v>0.085</v>
      </c>
      <c r="AE45" s="292">
        <f t="shared" si="43"/>
        <v>36705.44005425831</v>
      </c>
      <c r="AF45" s="293"/>
      <c r="AG45" s="294"/>
      <c r="AH45" s="295">
        <f t="shared" si="31"/>
        <v>292238.7065206859</v>
      </c>
      <c r="AI45" s="296">
        <f t="shared" si="32"/>
        <v>24840.290054258305</v>
      </c>
      <c r="AJ45" s="297">
        <f t="shared" si="33"/>
        <v>139590</v>
      </c>
      <c r="AK45" s="296">
        <f t="shared" si="34"/>
        <v>11865.150000000001</v>
      </c>
    </row>
    <row r="46" spans="1:37" s="54" customFormat="1" ht="12.75">
      <c r="A46" s="127">
        <v>38838</v>
      </c>
      <c r="B46" s="116">
        <v>38856</v>
      </c>
      <c r="C46" s="250">
        <v>11450</v>
      </c>
      <c r="D46" s="192">
        <f t="shared" si="44"/>
        <v>28600</v>
      </c>
      <c r="E46" s="250">
        <v>11999</v>
      </c>
      <c r="F46" s="192">
        <f>(E46-E45)*10</f>
        <v>10186.000000000004</v>
      </c>
      <c r="G46" s="250">
        <v>14894</v>
      </c>
      <c r="H46" s="192">
        <f t="shared" si="39"/>
        <v>32200</v>
      </c>
      <c r="I46" s="250">
        <v>11233</v>
      </c>
      <c r="J46" s="192">
        <f t="shared" si="40"/>
        <v>26800</v>
      </c>
      <c r="K46" s="250">
        <v>33064</v>
      </c>
      <c r="L46" s="192">
        <f>IF(K46="","",((K46-K45)*100))</f>
        <v>66300</v>
      </c>
      <c r="M46" s="250">
        <v>22144</v>
      </c>
      <c r="N46" s="192">
        <f t="shared" si="42"/>
        <v>51600</v>
      </c>
      <c r="O46" s="250">
        <v>57189</v>
      </c>
      <c r="P46" s="192">
        <f>IF(O46="","",(O46-O45)*10)</f>
        <v>9420</v>
      </c>
      <c r="Q46" s="250">
        <v>57764</v>
      </c>
      <c r="R46" s="192">
        <f>IF(Q46="","",(Q46-Q45)*10)</f>
        <v>9850</v>
      </c>
      <c r="S46" s="250" t="s">
        <v>84</v>
      </c>
      <c r="T46" s="298">
        <f>$P46</f>
        <v>9420</v>
      </c>
      <c r="U46" s="299">
        <v>179445</v>
      </c>
      <c r="V46" s="300">
        <f t="shared" si="45"/>
        <v>44860</v>
      </c>
      <c r="W46" s="299" t="s">
        <v>84</v>
      </c>
      <c r="X46" s="298">
        <f>$P46</f>
        <v>9420</v>
      </c>
      <c r="Y46" s="299">
        <v>51858</v>
      </c>
      <c r="Z46" s="300">
        <f>IF(Y46="","",(Y46-Y45)*10)</f>
        <v>8150</v>
      </c>
      <c r="AA46" s="299">
        <v>126922</v>
      </c>
      <c r="AB46" s="300">
        <f>IF(AA46="","",(AA46-AA45)*10)</f>
        <v>24730</v>
      </c>
      <c r="AC46" s="301">
        <f t="shared" si="13"/>
        <v>316319.9076639861</v>
      </c>
      <c r="AD46" s="302">
        <v>0.085</v>
      </c>
      <c r="AE46" s="292">
        <f t="shared" si="43"/>
        <v>26887.19215143882</v>
      </c>
      <c r="AF46" s="293"/>
      <c r="AG46" s="294"/>
      <c r="AH46" s="295">
        <f t="shared" si="31"/>
        <v>200469.90766398606</v>
      </c>
      <c r="AI46" s="296">
        <f t="shared" si="32"/>
        <v>17039.942151438816</v>
      </c>
      <c r="AJ46" s="297">
        <f t="shared" si="33"/>
        <v>115850</v>
      </c>
      <c r="AK46" s="296">
        <f t="shared" si="34"/>
        <v>9847.25</v>
      </c>
    </row>
    <row r="47" spans="1:37" s="311" customFormat="1" ht="13.5" thickBot="1">
      <c r="A47" s="127">
        <v>38869</v>
      </c>
      <c r="B47" s="178">
        <v>38882</v>
      </c>
      <c r="C47" s="191">
        <v>11568</v>
      </c>
      <c r="D47" s="194">
        <f t="shared" si="44"/>
        <v>11800</v>
      </c>
      <c r="E47" s="191">
        <v>12947</v>
      </c>
      <c r="F47" s="194">
        <f>(E47-E46)*10</f>
        <v>9480</v>
      </c>
      <c r="G47" s="191">
        <v>15213</v>
      </c>
      <c r="H47" s="194">
        <f>H35*1.05</f>
        <v>39165</v>
      </c>
      <c r="I47" s="191">
        <v>11381</v>
      </c>
      <c r="J47" s="194">
        <f t="shared" si="40"/>
        <v>14800</v>
      </c>
      <c r="K47" s="191">
        <v>33619</v>
      </c>
      <c r="L47" s="194">
        <f>IF(K47="","",((K47-K46)*100))</f>
        <v>55500</v>
      </c>
      <c r="M47" s="191">
        <v>22425</v>
      </c>
      <c r="N47" s="194">
        <f t="shared" si="42"/>
        <v>28100</v>
      </c>
      <c r="O47" s="191">
        <v>57893</v>
      </c>
      <c r="P47" s="194">
        <f>IF(O47="","",(O47-O46)*10)</f>
        <v>7040</v>
      </c>
      <c r="Q47" s="191">
        <v>58607</v>
      </c>
      <c r="R47" s="194">
        <f>IF(Q47="","",(Q47-Q46)*10)</f>
        <v>8430</v>
      </c>
      <c r="S47" s="191" t="s">
        <v>84</v>
      </c>
      <c r="T47" s="303">
        <f>$P47</f>
        <v>7040</v>
      </c>
      <c r="U47" s="309">
        <v>183225</v>
      </c>
      <c r="V47" s="304">
        <f t="shared" si="45"/>
        <v>37800</v>
      </c>
      <c r="W47" s="309" t="s">
        <v>84</v>
      </c>
      <c r="X47" s="303">
        <f>$P47</f>
        <v>7040</v>
      </c>
      <c r="Y47" s="309">
        <v>52518</v>
      </c>
      <c r="Z47" s="304">
        <f>IF(Y47="","",(Y47-Y46)*10)</f>
        <v>6600</v>
      </c>
      <c r="AA47" s="309">
        <v>128998</v>
      </c>
      <c r="AB47" s="304">
        <f>IF(AA47="","",(AA47-AA46)*10)</f>
        <v>20760</v>
      </c>
      <c r="AC47" s="305">
        <f t="shared" si="13"/>
        <v>242006.37292897975</v>
      </c>
      <c r="AD47" s="306">
        <v>0.085</v>
      </c>
      <c r="AE47" s="307">
        <f t="shared" si="43"/>
        <v>20570.54169896328</v>
      </c>
      <c r="AF47" s="310">
        <f>SUM(AE45:AE47)</f>
        <v>84163.1739046604</v>
      </c>
      <c r="AG47" s="294"/>
      <c r="AH47" s="295">
        <f t="shared" si="31"/>
        <v>147296.37292897975</v>
      </c>
      <c r="AI47" s="296">
        <f t="shared" si="32"/>
        <v>12520.19169896328</v>
      </c>
      <c r="AJ47" s="297">
        <f t="shared" si="33"/>
        <v>94710</v>
      </c>
      <c r="AK47" s="296">
        <f t="shared" si="34"/>
        <v>8050.35</v>
      </c>
    </row>
    <row r="48" spans="1:37" s="54" customFormat="1" ht="12.75">
      <c r="A48" s="312">
        <v>38899</v>
      </c>
      <c r="B48" s="178">
        <v>38915</v>
      </c>
      <c r="C48" s="263">
        <v>11766</v>
      </c>
      <c r="D48" s="192">
        <f t="shared" si="44"/>
        <v>19800</v>
      </c>
      <c r="E48" s="263">
        <v>14699</v>
      </c>
      <c r="F48" s="264">
        <f>(E48-E47)*10</f>
        <v>17520</v>
      </c>
      <c r="G48" s="263">
        <v>15676</v>
      </c>
      <c r="H48" s="264">
        <f aca="true" t="shared" si="46" ref="H48:H59">(G48-G47)*100</f>
        <v>46300</v>
      </c>
      <c r="I48" s="263">
        <v>11564</v>
      </c>
      <c r="J48" s="264">
        <f aca="true" t="shared" si="47" ref="J48:J56">(I48-I47)*100</f>
        <v>18300</v>
      </c>
      <c r="K48" s="263">
        <v>34590</v>
      </c>
      <c r="L48" s="264">
        <f aca="true" t="shared" si="48" ref="L48:L59">(K48-K47)*100</f>
        <v>97100</v>
      </c>
      <c r="M48" s="263">
        <v>23020</v>
      </c>
      <c r="N48" s="264">
        <f aca="true" t="shared" si="49" ref="N48:N56">(M48-M47)*100</f>
        <v>59500</v>
      </c>
      <c r="O48" s="263">
        <v>59063</v>
      </c>
      <c r="P48" s="264">
        <f aca="true" t="shared" si="50" ref="P48:P95">(O48-O47)*10</f>
        <v>11700</v>
      </c>
      <c r="Q48" s="284">
        <v>60157</v>
      </c>
      <c r="R48" s="264">
        <f>(Q48-Q47)*10</f>
        <v>15500</v>
      </c>
      <c r="S48" s="263" t="s">
        <v>84</v>
      </c>
      <c r="T48" s="286">
        <f aca="true" t="shared" si="51" ref="T48:T59">AB48</f>
        <v>32360</v>
      </c>
      <c r="U48" s="287">
        <v>191586</v>
      </c>
      <c r="V48" s="288">
        <f t="shared" si="45"/>
        <v>83610</v>
      </c>
      <c r="W48" s="287" t="s">
        <v>84</v>
      </c>
      <c r="X48" s="286">
        <f>AB48</f>
        <v>32360</v>
      </c>
      <c r="Y48" s="287">
        <v>53607</v>
      </c>
      <c r="Z48" s="288">
        <f>(Y48-Y47)*10</f>
        <v>10890</v>
      </c>
      <c r="AA48" s="287">
        <v>132234</v>
      </c>
      <c r="AB48" s="288">
        <f>(AA48-AA47)*10</f>
        <v>32360</v>
      </c>
      <c r="AC48" s="290">
        <f t="shared" si="13"/>
        <v>455747.0942738107</v>
      </c>
      <c r="AD48" s="291">
        <v>0.08700000000000001</v>
      </c>
      <c r="AE48" s="292">
        <f>AC48*AD48</f>
        <v>39649.997201821534</v>
      </c>
      <c r="AF48" s="293"/>
      <c r="AG48" s="294"/>
      <c r="AH48" s="295">
        <f t="shared" si="31"/>
        <v>236967.09427381068</v>
      </c>
      <c r="AI48" s="296">
        <f t="shared" si="32"/>
        <v>20616.13720182153</v>
      </c>
      <c r="AJ48" s="297">
        <f t="shared" si="33"/>
        <v>218780</v>
      </c>
      <c r="AK48" s="296">
        <f t="shared" si="34"/>
        <v>19033.86</v>
      </c>
    </row>
    <row r="49" spans="1:37" s="54" customFormat="1" ht="12.75">
      <c r="A49" s="127">
        <v>38930</v>
      </c>
      <c r="B49" s="178">
        <v>38944</v>
      </c>
      <c r="C49" s="250">
        <v>11955</v>
      </c>
      <c r="D49" s="192">
        <f t="shared" si="44"/>
        <v>18900</v>
      </c>
      <c r="E49" s="250">
        <v>16390</v>
      </c>
      <c r="F49" s="192">
        <f aca="true" t="shared" si="52" ref="F49:F59">(E49-E48)*10</f>
        <v>16910</v>
      </c>
      <c r="G49" s="250">
        <v>16077</v>
      </c>
      <c r="H49" s="192">
        <f t="shared" si="46"/>
        <v>40100</v>
      </c>
      <c r="I49" s="250">
        <v>11748</v>
      </c>
      <c r="J49" s="192">
        <f t="shared" si="47"/>
        <v>18400</v>
      </c>
      <c r="K49" s="250">
        <v>35614</v>
      </c>
      <c r="L49" s="192">
        <f t="shared" si="48"/>
        <v>102400</v>
      </c>
      <c r="M49" s="250">
        <v>23668</v>
      </c>
      <c r="N49" s="192">
        <f t="shared" si="49"/>
        <v>64800</v>
      </c>
      <c r="O49" s="250">
        <v>60326</v>
      </c>
      <c r="P49" s="192">
        <f t="shared" si="50"/>
        <v>12630</v>
      </c>
      <c r="Q49" s="250">
        <v>61468</v>
      </c>
      <c r="R49" s="192">
        <f>(Q49-Q48)*10</f>
        <v>13110</v>
      </c>
      <c r="S49" s="250" t="s">
        <v>84</v>
      </c>
      <c r="T49" s="298">
        <f t="shared" si="51"/>
        <v>35220</v>
      </c>
      <c r="U49" s="299">
        <v>199654</v>
      </c>
      <c r="V49" s="300">
        <f t="shared" si="45"/>
        <v>80680</v>
      </c>
      <c r="W49" s="299" t="s">
        <v>84</v>
      </c>
      <c r="X49" s="298">
        <f>AB49</f>
        <v>35220</v>
      </c>
      <c r="Y49" s="299">
        <v>54607</v>
      </c>
      <c r="Z49" s="300">
        <f>(Y49-Y48)*10</f>
        <v>10000</v>
      </c>
      <c r="AA49" s="299">
        <v>135756</v>
      </c>
      <c r="AB49" s="300">
        <f>(AA49-AA48)*10</f>
        <v>35220</v>
      </c>
      <c r="AC49" s="301">
        <f t="shared" si="13"/>
        <v>461182.2696444143</v>
      </c>
      <c r="AD49" s="302">
        <v>0.08700000000000001</v>
      </c>
      <c r="AE49" s="292">
        <f>AC49*AD49</f>
        <v>40122.85745906405</v>
      </c>
      <c r="AF49" s="293"/>
      <c r="AG49" s="294"/>
      <c r="AH49" s="295">
        <f t="shared" si="31"/>
        <v>239102.2696444143</v>
      </c>
      <c r="AI49" s="296">
        <f t="shared" si="32"/>
        <v>20801.897459064046</v>
      </c>
      <c r="AJ49" s="297">
        <f t="shared" si="33"/>
        <v>222080</v>
      </c>
      <c r="AK49" s="296">
        <f t="shared" si="34"/>
        <v>19320.960000000003</v>
      </c>
    </row>
    <row r="50" spans="1:37" s="54" customFormat="1" ht="13.5" thickBot="1">
      <c r="A50" s="127">
        <v>38961</v>
      </c>
      <c r="B50" s="178">
        <v>38975</v>
      </c>
      <c r="C50" s="191">
        <v>12276</v>
      </c>
      <c r="D50" s="194">
        <f t="shared" si="44"/>
        <v>32100</v>
      </c>
      <c r="E50" s="191">
        <v>18619</v>
      </c>
      <c r="F50" s="194">
        <f t="shared" si="52"/>
        <v>22290</v>
      </c>
      <c r="G50" s="191">
        <v>16512</v>
      </c>
      <c r="H50" s="194">
        <f t="shared" si="46"/>
        <v>43500</v>
      </c>
      <c r="I50" s="191">
        <v>12084</v>
      </c>
      <c r="J50" s="194">
        <f t="shared" si="47"/>
        <v>33600</v>
      </c>
      <c r="K50" s="191">
        <v>36610</v>
      </c>
      <c r="L50" s="194">
        <f t="shared" si="48"/>
        <v>99600</v>
      </c>
      <c r="M50" s="191">
        <v>24180</v>
      </c>
      <c r="N50" s="194">
        <f t="shared" si="49"/>
        <v>51200</v>
      </c>
      <c r="O50" s="191">
        <v>61644</v>
      </c>
      <c r="P50" s="194">
        <f t="shared" si="50"/>
        <v>13180</v>
      </c>
      <c r="Q50" s="191">
        <v>62799</v>
      </c>
      <c r="R50" s="194">
        <f>(Q50-Q49)*10</f>
        <v>13310</v>
      </c>
      <c r="S50" s="191" t="s">
        <v>84</v>
      </c>
      <c r="T50" s="303">
        <f t="shared" si="51"/>
        <v>34060</v>
      </c>
      <c r="U50" s="309">
        <v>205540</v>
      </c>
      <c r="V50" s="304">
        <f t="shared" si="45"/>
        <v>58860</v>
      </c>
      <c r="W50" s="309" t="s">
        <v>84</v>
      </c>
      <c r="X50" s="303">
        <f>AB50</f>
        <v>34060</v>
      </c>
      <c r="Y50" s="309">
        <v>55937</v>
      </c>
      <c r="Z50" s="304">
        <f>(Y50-Y49)*10</f>
        <v>13300</v>
      </c>
      <c r="AA50" s="309">
        <v>139162</v>
      </c>
      <c r="AB50" s="304">
        <f>(AA50-AA49)*10</f>
        <v>34060</v>
      </c>
      <c r="AC50" s="305">
        <f t="shared" si="13"/>
        <v>460542.6901463036</v>
      </c>
      <c r="AD50" s="306">
        <v>0.08700000000000001</v>
      </c>
      <c r="AE50" s="307">
        <f>AC50*AD50</f>
        <v>40067.21404272842</v>
      </c>
      <c r="AF50" s="308">
        <f>SUM(AE48:AE50)</f>
        <v>119840.068703614</v>
      </c>
      <c r="AG50" s="294"/>
      <c r="AH50" s="295">
        <f t="shared" si="31"/>
        <v>259712.69014630365</v>
      </c>
      <c r="AI50" s="296">
        <f t="shared" si="32"/>
        <v>22595.00404272842</v>
      </c>
      <c r="AJ50" s="297">
        <f t="shared" si="33"/>
        <v>200830</v>
      </c>
      <c r="AK50" s="296">
        <f t="shared" si="34"/>
        <v>17472.210000000003</v>
      </c>
    </row>
    <row r="51" spans="1:37" s="54" customFormat="1" ht="12.75">
      <c r="A51" s="127">
        <v>38991</v>
      </c>
      <c r="B51" s="178">
        <v>39005</v>
      </c>
      <c r="C51" s="263">
        <v>12622</v>
      </c>
      <c r="D51" s="192">
        <f t="shared" si="44"/>
        <v>34600</v>
      </c>
      <c r="E51" s="263">
        <v>21172</v>
      </c>
      <c r="F51" s="264">
        <f t="shared" si="52"/>
        <v>25530</v>
      </c>
      <c r="G51" s="263">
        <v>16960</v>
      </c>
      <c r="H51" s="264">
        <f t="shared" si="46"/>
        <v>44800</v>
      </c>
      <c r="I51" s="263">
        <v>12492</v>
      </c>
      <c r="J51" s="264">
        <f t="shared" si="47"/>
        <v>40800</v>
      </c>
      <c r="K51" s="263">
        <v>37518</v>
      </c>
      <c r="L51" s="264">
        <f t="shared" si="48"/>
        <v>90800</v>
      </c>
      <c r="M51" s="263">
        <v>24775</v>
      </c>
      <c r="N51" s="264">
        <f t="shared" si="49"/>
        <v>59500</v>
      </c>
      <c r="O51" s="263">
        <v>62813</v>
      </c>
      <c r="P51" s="264">
        <f t="shared" si="50"/>
        <v>11690</v>
      </c>
      <c r="Q51" s="263">
        <v>63859</v>
      </c>
      <c r="R51" s="264">
        <f>(Q51-Q50)*10</f>
        <v>10600</v>
      </c>
      <c r="S51" s="263" t="s">
        <v>84</v>
      </c>
      <c r="T51" s="286">
        <f t="shared" si="51"/>
        <v>29290</v>
      </c>
      <c r="U51" s="287">
        <v>209750</v>
      </c>
      <c r="V51" s="288">
        <f t="shared" si="45"/>
        <v>42100</v>
      </c>
      <c r="W51" s="287" t="s">
        <v>84</v>
      </c>
      <c r="X51" s="286">
        <f aca="true" t="shared" si="53" ref="X51:X59">AB51</f>
        <v>29290</v>
      </c>
      <c r="Y51" s="287">
        <v>57178</v>
      </c>
      <c r="Z51" s="288">
        <f>(Y51-Y50)*10</f>
        <v>12410</v>
      </c>
      <c r="AA51" s="287">
        <v>142091</v>
      </c>
      <c r="AB51" s="288">
        <f>(AA51-AA50)*10</f>
        <v>29290</v>
      </c>
      <c r="AC51" s="290">
        <f t="shared" si="13"/>
        <v>437082.90621063847</v>
      </c>
      <c r="AD51" s="291">
        <v>0.08700000000000001</v>
      </c>
      <c r="AE51" s="292">
        <f>AC51*AD51</f>
        <v>38026.21284032555</v>
      </c>
      <c r="AF51" s="293"/>
      <c r="AG51" s="294"/>
      <c r="AH51" s="295">
        <f t="shared" si="31"/>
        <v>272412.90621063847</v>
      </c>
      <c r="AI51" s="296">
        <f t="shared" si="32"/>
        <v>23699.922840325547</v>
      </c>
      <c r="AJ51" s="297">
        <f t="shared" si="33"/>
        <v>164670</v>
      </c>
      <c r="AK51" s="296">
        <f t="shared" si="34"/>
        <v>14326.29</v>
      </c>
    </row>
    <row r="52" spans="1:37" s="54" customFormat="1" ht="12.75">
      <c r="A52" s="127">
        <v>39022</v>
      </c>
      <c r="B52" s="116">
        <v>39036</v>
      </c>
      <c r="C52" s="250">
        <v>13033</v>
      </c>
      <c r="D52" s="192">
        <f t="shared" si="44"/>
        <v>41100</v>
      </c>
      <c r="E52" s="250">
        <v>24390</v>
      </c>
      <c r="F52" s="192">
        <f t="shared" si="52"/>
        <v>32180</v>
      </c>
      <c r="G52" s="250">
        <v>17403</v>
      </c>
      <c r="H52" s="192">
        <f t="shared" si="46"/>
        <v>44300</v>
      </c>
      <c r="I52" s="250">
        <v>12982</v>
      </c>
      <c r="J52" s="192">
        <f t="shared" si="47"/>
        <v>49000</v>
      </c>
      <c r="K52" s="250">
        <v>38597</v>
      </c>
      <c r="L52" s="192">
        <f t="shared" si="48"/>
        <v>107900</v>
      </c>
      <c r="M52" s="250">
        <v>25536</v>
      </c>
      <c r="N52" s="192">
        <f t="shared" si="49"/>
        <v>76100</v>
      </c>
      <c r="O52" s="250">
        <v>64102</v>
      </c>
      <c r="P52" s="192">
        <f t="shared" si="50"/>
        <v>12890</v>
      </c>
      <c r="Q52" s="250">
        <v>65147</v>
      </c>
      <c r="R52" s="192">
        <f>IF(Q52="","",(Q52-Q51)*10)</f>
        <v>12880</v>
      </c>
      <c r="S52" s="250" t="s">
        <v>84</v>
      </c>
      <c r="T52" s="298">
        <f t="shared" si="51"/>
        <v>30110</v>
      </c>
      <c r="U52" s="299">
        <v>214580</v>
      </c>
      <c r="V52" s="300">
        <f t="shared" si="45"/>
        <v>48300</v>
      </c>
      <c r="W52" s="299" t="s">
        <v>84</v>
      </c>
      <c r="X52" s="298">
        <f t="shared" si="53"/>
        <v>30110</v>
      </c>
      <c r="Y52" s="299">
        <v>58417</v>
      </c>
      <c r="Z52" s="300">
        <f>IF(Y52="","",(Y52-Y51)*10)</f>
        <v>12390</v>
      </c>
      <c r="AA52" s="299">
        <v>145102</v>
      </c>
      <c r="AB52" s="300">
        <f>IF(AA52="","",(AA52-AA51)*10)</f>
        <v>30110</v>
      </c>
      <c r="AC52" s="301">
        <f t="shared" si="13"/>
        <v>498146.15831799246</v>
      </c>
      <c r="AD52" s="302">
        <v>0.08700000000000001</v>
      </c>
      <c r="AE52" s="292">
        <f>IF(AC52="","",AC52*AD52)</f>
        <v>43338.715773665346</v>
      </c>
      <c r="AF52" s="293"/>
      <c r="AG52" s="294"/>
      <c r="AH52" s="295">
        <f t="shared" si="31"/>
        <v>321356.15831799246</v>
      </c>
      <c r="AI52" s="296">
        <f t="shared" si="32"/>
        <v>27957.985773665347</v>
      </c>
      <c r="AJ52" s="297">
        <f t="shared" si="33"/>
        <v>176790</v>
      </c>
      <c r="AK52" s="296">
        <f t="shared" si="34"/>
        <v>15380.730000000001</v>
      </c>
    </row>
    <row r="53" spans="1:37" s="54" customFormat="1" ht="13.5" thickBot="1">
      <c r="A53" s="127">
        <v>39052</v>
      </c>
      <c r="B53" s="116">
        <v>39066</v>
      </c>
      <c r="C53" s="71">
        <f>C52+(C54-C52)/2</f>
        <v>13365</v>
      </c>
      <c r="D53" s="70">
        <f t="shared" si="44"/>
        <v>33200</v>
      </c>
      <c r="E53" s="71">
        <f>E52+(E54-E52)/2</f>
        <v>26952</v>
      </c>
      <c r="F53" s="70">
        <f t="shared" si="52"/>
        <v>25620</v>
      </c>
      <c r="G53" s="60">
        <v>17819</v>
      </c>
      <c r="H53" s="70">
        <f t="shared" si="46"/>
        <v>41600</v>
      </c>
      <c r="I53" s="60">
        <v>13431</v>
      </c>
      <c r="J53" s="70">
        <f t="shared" si="47"/>
        <v>44900</v>
      </c>
      <c r="K53" s="60">
        <v>39631</v>
      </c>
      <c r="L53" s="70">
        <f t="shared" si="48"/>
        <v>103400</v>
      </c>
      <c r="M53" s="60">
        <v>26244</v>
      </c>
      <c r="N53" s="70">
        <f t="shared" si="49"/>
        <v>70800</v>
      </c>
      <c r="O53" s="68">
        <f>O52+(O54-O52)/2</f>
        <v>65318.5</v>
      </c>
      <c r="P53" s="70">
        <f t="shared" si="50"/>
        <v>12165</v>
      </c>
      <c r="Q53" s="68">
        <f>Q52+(Q54-Q52)/2</f>
        <v>66241</v>
      </c>
      <c r="R53" s="70">
        <f>IF(Q53="","",(Q53-Q52)*10)</f>
        <v>10940</v>
      </c>
      <c r="S53" s="58" t="s">
        <v>84</v>
      </c>
      <c r="T53" s="298">
        <f t="shared" si="51"/>
        <v>25875</v>
      </c>
      <c r="U53" s="68">
        <f>U52+(U54-U52)/2</f>
        <v>219473.5</v>
      </c>
      <c r="V53" s="70">
        <f t="shared" si="45"/>
        <v>48935</v>
      </c>
      <c r="W53" s="58" t="s">
        <v>84</v>
      </c>
      <c r="X53" s="298">
        <f>AB53</f>
        <v>25875</v>
      </c>
      <c r="Y53" s="68">
        <f>Y52+(Y54-Y52)/2</f>
        <v>59615.5</v>
      </c>
      <c r="Z53" s="70">
        <f>IF(Y53="","",(Y53-Y52)*10)</f>
        <v>11985</v>
      </c>
      <c r="AA53" s="68">
        <f>AA52+(AA54-AA52)/2</f>
        <v>147689.5</v>
      </c>
      <c r="AB53" s="70">
        <f>IF(AA53="","",(AA53-AA52)*10)</f>
        <v>25875</v>
      </c>
      <c r="AC53" s="283">
        <f t="shared" si="13"/>
        <v>455132.6344346478</v>
      </c>
      <c r="AD53" s="128">
        <v>0.08700000000000001</v>
      </c>
      <c r="AE53" s="146">
        <f aca="true" t="shared" si="54" ref="AE53:AE59">IF(AC53="","",AC53*AD53)</f>
        <v>39596.53919581436</v>
      </c>
      <c r="AF53" s="208">
        <f>SUM(AE51:AE53)</f>
        <v>120961.46780980525</v>
      </c>
      <c r="AG53" s="185"/>
      <c r="AH53" s="147">
        <f t="shared" si="31"/>
        <v>293482.6344346478</v>
      </c>
      <c r="AI53" s="186">
        <f t="shared" si="32"/>
        <v>25532.98919581436</v>
      </c>
      <c r="AJ53" s="187">
        <f t="shared" si="33"/>
        <v>161650</v>
      </c>
      <c r="AK53" s="186">
        <f t="shared" si="34"/>
        <v>14063.550000000001</v>
      </c>
    </row>
    <row r="54" spans="1:37" s="54" customFormat="1" ht="12.75">
      <c r="A54" s="127">
        <v>39083</v>
      </c>
      <c r="B54" s="178">
        <v>39097</v>
      </c>
      <c r="C54" s="263">
        <v>13697</v>
      </c>
      <c r="D54" s="192">
        <f t="shared" si="44"/>
        <v>33200</v>
      </c>
      <c r="E54" s="263">
        <v>29514</v>
      </c>
      <c r="F54" s="264">
        <f t="shared" si="52"/>
        <v>25620</v>
      </c>
      <c r="G54" s="263">
        <v>18061</v>
      </c>
      <c r="H54" s="264">
        <f t="shared" si="46"/>
        <v>24200</v>
      </c>
      <c r="I54" s="263">
        <v>13716</v>
      </c>
      <c r="J54" s="264">
        <f t="shared" si="47"/>
        <v>28500</v>
      </c>
      <c r="K54" s="263">
        <v>40270</v>
      </c>
      <c r="L54" s="264">
        <f t="shared" si="48"/>
        <v>63900</v>
      </c>
      <c r="M54" s="263">
        <v>26705</v>
      </c>
      <c r="N54" s="264">
        <f t="shared" si="49"/>
        <v>46100</v>
      </c>
      <c r="O54" s="263">
        <v>66535</v>
      </c>
      <c r="P54" s="264">
        <f t="shared" si="50"/>
        <v>12165</v>
      </c>
      <c r="Q54" s="263">
        <v>67335</v>
      </c>
      <c r="R54" s="264">
        <f aca="true" t="shared" si="55" ref="R54:R59">(Q54-Q53)*10</f>
        <v>10940</v>
      </c>
      <c r="S54" s="263" t="s">
        <v>84</v>
      </c>
      <c r="T54" s="286">
        <f t="shared" si="51"/>
        <v>25875</v>
      </c>
      <c r="U54" s="287">
        <v>224367</v>
      </c>
      <c r="V54" s="288">
        <f t="shared" si="45"/>
        <v>48935</v>
      </c>
      <c r="W54" s="287" t="s">
        <v>84</v>
      </c>
      <c r="X54" s="286">
        <f t="shared" si="53"/>
        <v>25875</v>
      </c>
      <c r="Y54" s="287">
        <v>60814</v>
      </c>
      <c r="Z54" s="288">
        <f aca="true" t="shared" si="56" ref="Z54:Z59">(Y54-Y53)*10</f>
        <v>11985</v>
      </c>
      <c r="AA54" s="287">
        <v>150277</v>
      </c>
      <c r="AB54" s="288">
        <f aca="true" t="shared" si="57" ref="AB54:AB59">(AA54-AA53)*10</f>
        <v>25875</v>
      </c>
      <c r="AC54" s="290">
        <f t="shared" si="13"/>
        <v>363552.6344346478</v>
      </c>
      <c r="AD54" s="291">
        <v>0.08700000000000001</v>
      </c>
      <c r="AE54" s="292">
        <f t="shared" si="54"/>
        <v>31629.07919581436</v>
      </c>
      <c r="AF54" s="293"/>
      <c r="AG54" s="294"/>
      <c r="AH54" s="295">
        <f t="shared" si="31"/>
        <v>201902.6344346478</v>
      </c>
      <c r="AI54" s="296">
        <f t="shared" si="32"/>
        <v>17565.52919581436</v>
      </c>
      <c r="AJ54" s="297">
        <f t="shared" si="33"/>
        <v>161650</v>
      </c>
      <c r="AK54" s="296">
        <f t="shared" si="34"/>
        <v>14063.550000000001</v>
      </c>
    </row>
    <row r="55" spans="1:37" s="54" customFormat="1" ht="12.75">
      <c r="A55" s="127">
        <v>39114</v>
      </c>
      <c r="B55" s="116">
        <v>39128</v>
      </c>
      <c r="C55" s="250">
        <v>14112</v>
      </c>
      <c r="D55" s="192">
        <f t="shared" si="44"/>
        <v>41500</v>
      </c>
      <c r="E55" s="250">
        <v>32970</v>
      </c>
      <c r="F55" s="192">
        <f t="shared" si="52"/>
        <v>34560</v>
      </c>
      <c r="G55" s="250">
        <v>18477</v>
      </c>
      <c r="H55" s="192">
        <f t="shared" si="46"/>
        <v>41600</v>
      </c>
      <c r="I55" s="250">
        <v>14148</v>
      </c>
      <c r="J55" s="192">
        <f t="shared" si="47"/>
        <v>43200</v>
      </c>
      <c r="K55" s="250">
        <v>41419</v>
      </c>
      <c r="L55" s="192">
        <f t="shared" si="48"/>
        <v>114900</v>
      </c>
      <c r="M55" s="250">
        <v>27389</v>
      </c>
      <c r="N55" s="192">
        <f t="shared" si="49"/>
        <v>68400</v>
      </c>
      <c r="O55" s="250">
        <v>68040</v>
      </c>
      <c r="P55" s="192">
        <f t="shared" si="50"/>
        <v>15050</v>
      </c>
      <c r="Q55" s="250">
        <v>68671</v>
      </c>
      <c r="R55" s="192">
        <f t="shared" si="55"/>
        <v>13360</v>
      </c>
      <c r="S55" s="250" t="s">
        <v>84</v>
      </c>
      <c r="T55" s="298">
        <f t="shared" si="51"/>
        <v>31380</v>
      </c>
      <c r="U55" s="299">
        <v>229481</v>
      </c>
      <c r="V55" s="300">
        <f>(U55-U54)*10</f>
        <v>51140</v>
      </c>
      <c r="W55" s="299" t="s">
        <v>84</v>
      </c>
      <c r="X55" s="298">
        <f>AB55</f>
        <v>31380</v>
      </c>
      <c r="Y55" s="299">
        <v>62218</v>
      </c>
      <c r="Z55" s="300">
        <f t="shared" si="56"/>
        <v>14040</v>
      </c>
      <c r="AA55" s="299">
        <v>153415</v>
      </c>
      <c r="AB55" s="300">
        <f t="shared" si="57"/>
        <v>31380</v>
      </c>
      <c r="AC55" s="301">
        <f t="shared" si="13"/>
        <v>501935.6380195718</v>
      </c>
      <c r="AD55" s="302">
        <v>0.08700000000000001</v>
      </c>
      <c r="AE55" s="292">
        <f t="shared" si="54"/>
        <v>43668.40050770275</v>
      </c>
      <c r="AF55" s="293"/>
      <c r="AG55" s="294"/>
      <c r="AH55" s="295">
        <f t="shared" si="31"/>
        <v>314205.6380195718</v>
      </c>
      <c r="AI55" s="296">
        <f t="shared" si="32"/>
        <v>27335.89050770275</v>
      </c>
      <c r="AJ55" s="297">
        <f t="shared" si="33"/>
        <v>187730</v>
      </c>
      <c r="AK55" s="296">
        <f t="shared" si="34"/>
        <v>16332.510000000002</v>
      </c>
    </row>
    <row r="56" spans="1:37" s="54" customFormat="1" ht="13.5" thickBot="1">
      <c r="A56" s="127">
        <v>39142</v>
      </c>
      <c r="B56" s="122">
        <v>39156</v>
      </c>
      <c r="C56" s="191">
        <v>14443</v>
      </c>
      <c r="D56" s="194">
        <f t="shared" si="44"/>
        <v>33100</v>
      </c>
      <c r="E56" s="191">
        <v>35573</v>
      </c>
      <c r="F56" s="194">
        <f t="shared" si="52"/>
        <v>26030</v>
      </c>
      <c r="G56" s="191">
        <v>18477</v>
      </c>
      <c r="H56" s="194">
        <f t="shared" si="46"/>
        <v>0</v>
      </c>
      <c r="I56" s="191">
        <v>14658</v>
      </c>
      <c r="J56" s="194">
        <f t="shared" si="47"/>
        <v>51000</v>
      </c>
      <c r="K56" s="191">
        <v>41419</v>
      </c>
      <c r="L56" s="194">
        <f t="shared" si="48"/>
        <v>0</v>
      </c>
      <c r="M56" s="191">
        <v>28387</v>
      </c>
      <c r="N56" s="194">
        <f t="shared" si="49"/>
        <v>99800</v>
      </c>
      <c r="O56" s="250">
        <v>69232</v>
      </c>
      <c r="P56" s="194">
        <f t="shared" si="50"/>
        <v>11920</v>
      </c>
      <c r="Q56" s="250">
        <v>69655</v>
      </c>
      <c r="R56" s="194">
        <f t="shared" si="55"/>
        <v>9840</v>
      </c>
      <c r="S56" s="250" t="s">
        <v>84</v>
      </c>
      <c r="T56" s="298">
        <f t="shared" si="51"/>
        <v>24200</v>
      </c>
      <c r="U56" s="299">
        <v>233345</v>
      </c>
      <c r="V56" s="304">
        <f>(U56-U55)*10</f>
        <v>38640</v>
      </c>
      <c r="W56" s="299" t="s">
        <v>84</v>
      </c>
      <c r="X56" s="298">
        <f t="shared" si="53"/>
        <v>24200</v>
      </c>
      <c r="Y56" s="299">
        <v>63316</v>
      </c>
      <c r="Z56" s="304">
        <f t="shared" si="56"/>
        <v>10980</v>
      </c>
      <c r="AA56" s="299">
        <v>155835</v>
      </c>
      <c r="AB56" s="304">
        <f t="shared" si="57"/>
        <v>24200</v>
      </c>
      <c r="AC56" s="305">
        <f t="shared" si="13"/>
        <v>335174.72967735684</v>
      </c>
      <c r="AD56" s="306">
        <v>0.08700000000000001</v>
      </c>
      <c r="AE56" s="307">
        <f t="shared" si="54"/>
        <v>29160.20148193005</v>
      </c>
      <c r="AF56" s="308">
        <f>SUM(AE54:AE56)</f>
        <v>104457.68118544716</v>
      </c>
      <c r="AG56" s="294"/>
      <c r="AH56" s="295">
        <f t="shared" si="31"/>
        <v>191194.72967735684</v>
      </c>
      <c r="AI56" s="296">
        <f t="shared" si="32"/>
        <v>16633.941481930047</v>
      </c>
      <c r="AJ56" s="297">
        <f t="shared" si="33"/>
        <v>143980</v>
      </c>
      <c r="AK56" s="296">
        <f t="shared" si="34"/>
        <v>12526.260000000002</v>
      </c>
    </row>
    <row r="57" spans="1:37" s="54" customFormat="1" ht="12.75">
      <c r="A57" s="127">
        <v>39173</v>
      </c>
      <c r="B57" s="178">
        <v>39188</v>
      </c>
      <c r="C57" s="263">
        <v>14841</v>
      </c>
      <c r="D57" s="192">
        <f>(C57-C56)*100</f>
        <v>39800</v>
      </c>
      <c r="E57" s="263">
        <v>38584</v>
      </c>
      <c r="F57" s="264">
        <f t="shared" si="52"/>
        <v>30110</v>
      </c>
      <c r="G57" s="263">
        <v>18477</v>
      </c>
      <c r="H57" s="264">
        <f t="shared" si="46"/>
        <v>0</v>
      </c>
      <c r="I57" s="263">
        <v>15503</v>
      </c>
      <c r="J57" s="264">
        <f aca="true" t="shared" si="58" ref="J57:J68">(I57-I56)*100</f>
        <v>84500</v>
      </c>
      <c r="K57" s="263">
        <v>41419</v>
      </c>
      <c r="L57" s="264">
        <f t="shared" si="48"/>
        <v>0</v>
      </c>
      <c r="M57" s="263">
        <v>30078</v>
      </c>
      <c r="N57" s="264">
        <f aca="true" t="shared" si="59" ref="N57:N68">(M57-M56)*100</f>
        <v>169100</v>
      </c>
      <c r="O57" s="263">
        <v>70479</v>
      </c>
      <c r="P57" s="264">
        <f t="shared" si="50"/>
        <v>12470</v>
      </c>
      <c r="Q57" s="263">
        <v>70795</v>
      </c>
      <c r="R57" s="264">
        <f t="shared" si="55"/>
        <v>11400</v>
      </c>
      <c r="S57" s="263"/>
      <c r="T57" s="286">
        <f t="shared" si="51"/>
        <v>25630</v>
      </c>
      <c r="U57" s="287">
        <v>237300</v>
      </c>
      <c r="V57" s="288">
        <f>(U57-U56)*1</f>
        <v>3955</v>
      </c>
      <c r="W57" s="287"/>
      <c r="X57" s="286">
        <f t="shared" si="53"/>
        <v>25630</v>
      </c>
      <c r="Y57" s="287">
        <v>64509</v>
      </c>
      <c r="Z57" s="288">
        <f t="shared" si="56"/>
        <v>11930</v>
      </c>
      <c r="AA57" s="287">
        <v>158398</v>
      </c>
      <c r="AB57" s="288">
        <f t="shared" si="57"/>
        <v>25630</v>
      </c>
      <c r="AC57" s="290">
        <f t="shared" si="13"/>
        <v>413117.40916577855</v>
      </c>
      <c r="AD57" s="291">
        <v>0.08700000000000001</v>
      </c>
      <c r="AE57" s="292">
        <f t="shared" si="54"/>
        <v>35941.21459742274</v>
      </c>
      <c r="AF57" s="293"/>
      <c r="AG57" s="294"/>
      <c r="AH57" s="295">
        <f t="shared" si="31"/>
        <v>296472.40916577855</v>
      </c>
      <c r="AI57" s="296">
        <f t="shared" si="32"/>
        <v>25793.099597422737</v>
      </c>
      <c r="AJ57" s="297">
        <f t="shared" si="33"/>
        <v>116645</v>
      </c>
      <c r="AK57" s="296">
        <f t="shared" si="34"/>
        <v>10148.115000000002</v>
      </c>
    </row>
    <row r="58" spans="1:37" s="54" customFormat="1" ht="12.75">
      <c r="A58" s="127">
        <v>39203</v>
      </c>
      <c r="B58" s="116">
        <v>39219</v>
      </c>
      <c r="C58" s="250">
        <v>15125</v>
      </c>
      <c r="D58" s="192">
        <f t="shared" si="44"/>
        <v>28400</v>
      </c>
      <c r="E58" s="250">
        <v>40480</v>
      </c>
      <c r="F58" s="192">
        <f>(E58-E57)*10</f>
        <v>18960</v>
      </c>
      <c r="G58" s="250">
        <v>18477</v>
      </c>
      <c r="H58" s="192">
        <f t="shared" si="46"/>
        <v>0</v>
      </c>
      <c r="I58" s="250">
        <v>16162</v>
      </c>
      <c r="J58" s="192">
        <f t="shared" si="58"/>
        <v>65900</v>
      </c>
      <c r="K58" s="250">
        <v>41419</v>
      </c>
      <c r="L58" s="192">
        <f t="shared" si="48"/>
        <v>0</v>
      </c>
      <c r="M58" s="250">
        <v>31306</v>
      </c>
      <c r="N58" s="192">
        <f t="shared" si="59"/>
        <v>122800</v>
      </c>
      <c r="O58" s="250">
        <v>71401</v>
      </c>
      <c r="P58" s="192">
        <f t="shared" si="50"/>
        <v>9220</v>
      </c>
      <c r="Q58" s="68">
        <f>Q57+(Q59-Q57)/2</f>
        <v>71285.5</v>
      </c>
      <c r="R58" s="59">
        <f t="shared" si="55"/>
        <v>4905</v>
      </c>
      <c r="S58" s="58" t="s">
        <v>85</v>
      </c>
      <c r="T58" s="298">
        <f t="shared" si="51"/>
        <v>11625</v>
      </c>
      <c r="U58" s="299">
        <v>240998</v>
      </c>
      <c r="V58" s="300">
        <f>(U58-U57)*1</f>
        <v>3698</v>
      </c>
      <c r="W58" s="299" t="s">
        <v>86</v>
      </c>
      <c r="X58" s="298">
        <f>AB58</f>
        <v>11625</v>
      </c>
      <c r="Y58" s="299">
        <v>65292</v>
      </c>
      <c r="Z58" s="300">
        <f t="shared" si="56"/>
        <v>7830</v>
      </c>
      <c r="AA58" s="68">
        <f>AA57+(AA59-AA57)/2</f>
        <v>159560.5</v>
      </c>
      <c r="AB58" s="59">
        <f t="shared" si="57"/>
        <v>11625</v>
      </c>
      <c r="AC58" s="129">
        <f t="shared" si="13"/>
        <v>277930.7458579595</v>
      </c>
      <c r="AD58" s="207">
        <v>0.08700000000000001</v>
      </c>
      <c r="AE58" s="130">
        <f t="shared" si="54"/>
        <v>24179.97488964248</v>
      </c>
      <c r="AF58" s="206"/>
      <c r="AG58" s="185"/>
      <c r="AH58" s="147">
        <f t="shared" si="31"/>
        <v>217402.7458579595</v>
      </c>
      <c r="AI58" s="186">
        <f t="shared" si="32"/>
        <v>18914.038889642477</v>
      </c>
      <c r="AJ58" s="187">
        <f t="shared" si="33"/>
        <v>60528</v>
      </c>
      <c r="AK58" s="186">
        <f t="shared" si="34"/>
        <v>5265.936000000001</v>
      </c>
    </row>
    <row r="59" spans="1:37" s="115" customFormat="1" ht="13.5" thickBot="1">
      <c r="A59" s="127">
        <v>39234</v>
      </c>
      <c r="B59" s="122">
        <v>39246</v>
      </c>
      <c r="C59" s="191">
        <v>15282</v>
      </c>
      <c r="D59" s="194">
        <f t="shared" si="44"/>
        <v>15700</v>
      </c>
      <c r="E59" s="191">
        <v>41667</v>
      </c>
      <c r="F59" s="194">
        <f t="shared" si="52"/>
        <v>11870</v>
      </c>
      <c r="G59" s="191">
        <v>18477</v>
      </c>
      <c r="H59" s="194">
        <f t="shared" si="46"/>
        <v>0</v>
      </c>
      <c r="I59" s="191">
        <v>16762</v>
      </c>
      <c r="J59" s="194">
        <f t="shared" si="58"/>
        <v>60000</v>
      </c>
      <c r="K59" s="191">
        <v>41419</v>
      </c>
      <c r="L59" s="194">
        <f t="shared" si="48"/>
        <v>0</v>
      </c>
      <c r="M59" s="191">
        <v>32281</v>
      </c>
      <c r="N59" s="194">
        <f t="shared" si="59"/>
        <v>97500</v>
      </c>
      <c r="O59" s="191">
        <v>72306</v>
      </c>
      <c r="P59" s="194">
        <f t="shared" si="50"/>
        <v>9050</v>
      </c>
      <c r="Q59" s="191">
        <v>71776</v>
      </c>
      <c r="R59" s="194">
        <f t="shared" si="55"/>
        <v>4905</v>
      </c>
      <c r="S59" s="191">
        <v>356</v>
      </c>
      <c r="T59" s="303">
        <f t="shared" si="51"/>
        <v>11625</v>
      </c>
      <c r="U59" s="299">
        <v>245493</v>
      </c>
      <c r="V59" s="300">
        <f>(U59-U58)*1</f>
        <v>4495</v>
      </c>
      <c r="W59" s="309">
        <v>132711</v>
      </c>
      <c r="X59" s="303">
        <f t="shared" si="53"/>
        <v>11625</v>
      </c>
      <c r="Y59" s="309">
        <v>65999</v>
      </c>
      <c r="Z59" s="304">
        <f t="shared" si="56"/>
        <v>7070</v>
      </c>
      <c r="AA59" s="309">
        <v>160723</v>
      </c>
      <c r="AB59" s="304">
        <f t="shared" si="57"/>
        <v>11625</v>
      </c>
      <c r="AC59" s="305">
        <f>D59+F59*$F$2+H59+J59+(L59+N59)*$K$3+P59+R59+T59+V59+X59+Z59+AB59</f>
        <v>231722.48909989343</v>
      </c>
      <c r="AD59" s="306">
        <v>0.08700000000000001</v>
      </c>
      <c r="AE59" s="307">
        <f t="shared" si="54"/>
        <v>20159.85655169073</v>
      </c>
      <c r="AF59" s="310">
        <f>SUM(AE57:AE59)</f>
        <v>80281.04603875594</v>
      </c>
      <c r="AG59" s="179"/>
      <c r="AH59" s="147">
        <f t="shared" si="31"/>
        <v>171327.48909989343</v>
      </c>
      <c r="AI59" s="186">
        <f t="shared" si="32"/>
        <v>14905.49155169073</v>
      </c>
      <c r="AJ59" s="187">
        <f t="shared" si="33"/>
        <v>60395</v>
      </c>
      <c r="AK59" s="186">
        <f t="shared" si="34"/>
        <v>5254.365000000001</v>
      </c>
    </row>
    <row r="60" spans="1:37" s="54" customFormat="1" ht="12.75">
      <c r="A60" s="127">
        <v>39264</v>
      </c>
      <c r="B60" s="122">
        <v>39280</v>
      </c>
      <c r="C60" s="263">
        <v>15486</v>
      </c>
      <c r="D60" s="192">
        <f aca="true" t="shared" si="60" ref="D60:D98">(C60-C59)*100</f>
        <v>20400</v>
      </c>
      <c r="E60" s="263">
        <v>43444</v>
      </c>
      <c r="F60" s="264">
        <f aca="true" t="shared" si="61" ref="F60:F67">(E60-E59)*10</f>
        <v>17770</v>
      </c>
      <c r="G60" s="263">
        <v>18477</v>
      </c>
      <c r="H60" s="264">
        <f>(G60-G59)*100</f>
        <v>0</v>
      </c>
      <c r="I60" s="263">
        <v>17517</v>
      </c>
      <c r="J60" s="264">
        <f t="shared" si="58"/>
        <v>75500</v>
      </c>
      <c r="K60" s="263">
        <v>41419</v>
      </c>
      <c r="L60" s="264">
        <f>(K60-K59)*100</f>
        <v>0</v>
      </c>
      <c r="M60" s="263">
        <v>34059</v>
      </c>
      <c r="N60" s="264">
        <f t="shared" si="59"/>
        <v>177800</v>
      </c>
      <c r="O60" s="263">
        <v>73748</v>
      </c>
      <c r="P60" s="264">
        <f t="shared" si="50"/>
        <v>14420</v>
      </c>
      <c r="Q60" s="263">
        <v>73160</v>
      </c>
      <c r="R60" s="264">
        <f aca="true" t="shared" si="62" ref="R60:R68">(Q60-Q59)*10</f>
        <v>13840</v>
      </c>
      <c r="S60" s="263">
        <v>3356</v>
      </c>
      <c r="T60" s="313">
        <f aca="true" t="shared" si="63" ref="T60:T68">(S60-S59)*10</f>
        <v>30000</v>
      </c>
      <c r="U60" s="263">
        <v>251744</v>
      </c>
      <c r="V60" s="264">
        <f aca="true" t="shared" si="64" ref="V60:V68">(U60-U59)</f>
        <v>6251</v>
      </c>
      <c r="W60" s="284">
        <v>135016</v>
      </c>
      <c r="X60" s="264">
        <f aca="true" t="shared" si="65" ref="X60:X68">(W60-W59)*10</f>
        <v>23050</v>
      </c>
      <c r="Y60" s="263">
        <v>67184</v>
      </c>
      <c r="Z60" s="264">
        <f aca="true" t="shared" si="66" ref="Z60:Z68">(Y60-Y59)*10</f>
        <v>11850</v>
      </c>
      <c r="AA60" s="263">
        <v>164080</v>
      </c>
      <c r="AB60" s="264">
        <f aca="true" t="shared" si="67" ref="AB60:AB65">(AA60-AA59)*10</f>
        <v>33570</v>
      </c>
      <c r="AC60" s="314">
        <f>D60+F60*$F$3+H60+J60+(L60+N60)*$K$3+P60+R60+T60+V60+X60+Z60+AB60</f>
        <v>394765.1</v>
      </c>
      <c r="AD60" s="315">
        <v>0.09</v>
      </c>
      <c r="AE60" s="268">
        <f>AC60*AD60</f>
        <v>35528.859</v>
      </c>
      <c r="AF60" s="269"/>
      <c r="AG60" s="255"/>
      <c r="AH60" s="256">
        <f>D60+F60*$F$3+H60+J60+(L60+N60)*$K$3</f>
        <v>261784.1</v>
      </c>
      <c r="AI60" s="257">
        <f t="shared" si="32"/>
        <v>23560.569</v>
      </c>
      <c r="AJ60" s="258">
        <f t="shared" si="33"/>
        <v>132981</v>
      </c>
      <c r="AK60" s="257">
        <f>AJ60*AD60</f>
        <v>11968.289999999999</v>
      </c>
    </row>
    <row r="61" spans="1:37" s="54" customFormat="1" ht="12.75">
      <c r="A61" s="127">
        <v>39295</v>
      </c>
      <c r="B61" s="122">
        <v>39309</v>
      </c>
      <c r="C61" s="250">
        <v>15660</v>
      </c>
      <c r="D61" s="192">
        <f t="shared" si="60"/>
        <v>17400</v>
      </c>
      <c r="E61" s="250">
        <v>44936</v>
      </c>
      <c r="F61" s="192">
        <f t="shared" si="61"/>
        <v>14920</v>
      </c>
      <c r="G61" s="250">
        <v>18477</v>
      </c>
      <c r="H61" s="192">
        <f>(G61-G60)*100</f>
        <v>0</v>
      </c>
      <c r="I61" s="250">
        <v>18177</v>
      </c>
      <c r="J61" s="192">
        <f t="shared" si="58"/>
        <v>66000</v>
      </c>
      <c r="K61" s="250">
        <v>41419</v>
      </c>
      <c r="L61" s="192">
        <f>(K61-K60)*100</f>
        <v>0</v>
      </c>
      <c r="M61" s="250">
        <v>35703</v>
      </c>
      <c r="N61" s="192">
        <f t="shared" si="59"/>
        <v>164400</v>
      </c>
      <c r="O61" s="250">
        <v>74883</v>
      </c>
      <c r="P61" s="192">
        <f t="shared" si="50"/>
        <v>11350</v>
      </c>
      <c r="Q61" s="250">
        <v>74282</v>
      </c>
      <c r="R61" s="192">
        <f t="shared" si="62"/>
        <v>11220</v>
      </c>
      <c r="S61" s="250">
        <v>6020</v>
      </c>
      <c r="T61" s="256">
        <f t="shared" si="63"/>
        <v>26640</v>
      </c>
      <c r="U61" s="250">
        <v>256402</v>
      </c>
      <c r="V61" s="192">
        <f t="shared" si="64"/>
        <v>4658</v>
      </c>
      <c r="W61" s="316">
        <v>136953</v>
      </c>
      <c r="X61" s="192">
        <f t="shared" si="65"/>
        <v>19370</v>
      </c>
      <c r="Y61" s="250">
        <v>68129</v>
      </c>
      <c r="Z61" s="192">
        <f t="shared" si="66"/>
        <v>9450</v>
      </c>
      <c r="AA61" s="250">
        <v>167126</v>
      </c>
      <c r="AB61" s="192">
        <f t="shared" si="67"/>
        <v>30460</v>
      </c>
      <c r="AC61" s="266">
        <f aca="true" t="shared" si="68" ref="AC61:AC71">D61+F61*$F$3+H61+J61+(L61+N61)*$K$3+P61+R61+T61+V61+X61+Z61+AB61</f>
        <v>349431.6</v>
      </c>
      <c r="AD61" s="317">
        <v>0.09</v>
      </c>
      <c r="AE61" s="268">
        <f>AC61*AD61</f>
        <v>31448.843999999997</v>
      </c>
      <c r="AF61" s="269"/>
      <c r="AG61" s="255"/>
      <c r="AH61" s="256">
        <f aca="true" t="shared" si="69" ref="AH61:AH71">D61+F61*$F$3+H61+J61+(L61+N61)*$K$3</f>
        <v>236283.6</v>
      </c>
      <c r="AI61" s="257">
        <f t="shared" si="32"/>
        <v>21265.524</v>
      </c>
      <c r="AJ61" s="258">
        <f t="shared" si="33"/>
        <v>113148</v>
      </c>
      <c r="AK61" s="257">
        <f t="shared" si="34"/>
        <v>10183.32</v>
      </c>
    </row>
    <row r="62" spans="1:37" s="54" customFormat="1" ht="13.5" thickBot="1">
      <c r="A62" s="127">
        <v>39326</v>
      </c>
      <c r="B62" s="122">
        <v>39344</v>
      </c>
      <c r="C62" s="250">
        <v>16014</v>
      </c>
      <c r="D62" s="192">
        <f t="shared" si="60"/>
        <v>35400</v>
      </c>
      <c r="E62" s="250">
        <v>47275</v>
      </c>
      <c r="F62" s="192">
        <f t="shared" si="61"/>
        <v>23390</v>
      </c>
      <c r="G62" s="191">
        <v>18477</v>
      </c>
      <c r="H62" s="194">
        <f>(G62-G61)*100</f>
        <v>0</v>
      </c>
      <c r="I62" s="250">
        <v>19083</v>
      </c>
      <c r="J62" s="192">
        <f t="shared" si="58"/>
        <v>90600</v>
      </c>
      <c r="K62" s="191">
        <v>41419</v>
      </c>
      <c r="L62" s="194">
        <f>(K62-K61)*100</f>
        <v>0</v>
      </c>
      <c r="M62" s="250">
        <v>37569</v>
      </c>
      <c r="N62" s="192">
        <f t="shared" si="59"/>
        <v>186600</v>
      </c>
      <c r="O62" s="250">
        <v>76382</v>
      </c>
      <c r="P62" s="192">
        <f t="shared" si="50"/>
        <v>14990</v>
      </c>
      <c r="Q62" s="250">
        <v>75969</v>
      </c>
      <c r="R62" s="192">
        <f t="shared" si="62"/>
        <v>16870</v>
      </c>
      <c r="S62" s="250">
        <v>9707</v>
      </c>
      <c r="T62" s="256">
        <f t="shared" si="63"/>
        <v>36870</v>
      </c>
      <c r="U62" s="250">
        <v>262582</v>
      </c>
      <c r="V62" s="192">
        <f t="shared" si="64"/>
        <v>6180</v>
      </c>
      <c r="W62" s="316">
        <v>139957</v>
      </c>
      <c r="X62" s="192">
        <f t="shared" si="65"/>
        <v>30040</v>
      </c>
      <c r="Y62" s="250">
        <v>69535</v>
      </c>
      <c r="Z62" s="192">
        <f t="shared" si="66"/>
        <v>14060</v>
      </c>
      <c r="AA62" s="250">
        <v>170932</v>
      </c>
      <c r="AB62" s="192">
        <f t="shared" si="67"/>
        <v>38060</v>
      </c>
      <c r="AC62" s="275">
        <f t="shared" si="68"/>
        <v>458728.7</v>
      </c>
      <c r="AD62" s="318">
        <v>0.09</v>
      </c>
      <c r="AE62" s="277">
        <f>AC62*AD62</f>
        <v>41285.583</v>
      </c>
      <c r="AF62" s="319">
        <f>SUM(AE60:AE62)</f>
        <v>108263.286</v>
      </c>
      <c r="AG62" s="255"/>
      <c r="AH62" s="256">
        <f t="shared" si="69"/>
        <v>301658.7</v>
      </c>
      <c r="AI62" s="257">
        <f t="shared" si="32"/>
        <v>27149.283</v>
      </c>
      <c r="AJ62" s="258">
        <f t="shared" si="33"/>
        <v>157070</v>
      </c>
      <c r="AK62" s="257">
        <f t="shared" si="34"/>
        <v>14136.3</v>
      </c>
    </row>
    <row r="63" spans="1:37" s="76" customFormat="1" ht="12.75">
      <c r="A63" s="127">
        <v>39356</v>
      </c>
      <c r="B63" s="178">
        <v>39370</v>
      </c>
      <c r="C63" s="263">
        <v>16363</v>
      </c>
      <c r="D63" s="264">
        <f t="shared" si="60"/>
        <v>34900</v>
      </c>
      <c r="E63" s="263">
        <v>49067</v>
      </c>
      <c r="F63" s="264">
        <f t="shared" si="61"/>
        <v>17920</v>
      </c>
      <c r="G63" s="284">
        <v>18477</v>
      </c>
      <c r="H63" s="264">
        <v>0</v>
      </c>
      <c r="I63" s="263">
        <v>19944</v>
      </c>
      <c r="J63" s="264">
        <f t="shared" si="58"/>
        <v>86100</v>
      </c>
      <c r="K63" s="284">
        <v>41419</v>
      </c>
      <c r="L63" s="264">
        <v>0</v>
      </c>
      <c r="M63" s="263">
        <v>39260</v>
      </c>
      <c r="N63" s="264">
        <f t="shared" si="59"/>
        <v>169100</v>
      </c>
      <c r="O63" s="263">
        <v>77816</v>
      </c>
      <c r="P63" s="264">
        <f t="shared" si="50"/>
        <v>14340</v>
      </c>
      <c r="Q63" s="263">
        <v>77429</v>
      </c>
      <c r="R63" s="264">
        <f t="shared" si="62"/>
        <v>14600</v>
      </c>
      <c r="S63" s="263">
        <v>12974</v>
      </c>
      <c r="T63" s="264">
        <f t="shared" si="63"/>
        <v>32670</v>
      </c>
      <c r="U63" s="263">
        <v>266765</v>
      </c>
      <c r="V63" s="264">
        <f t="shared" si="64"/>
        <v>4183</v>
      </c>
      <c r="W63" s="263">
        <v>142607</v>
      </c>
      <c r="X63" s="264">
        <f t="shared" si="65"/>
        <v>26500</v>
      </c>
      <c r="Y63" s="263">
        <v>70917</v>
      </c>
      <c r="Z63" s="264">
        <f t="shared" si="66"/>
        <v>13820</v>
      </c>
      <c r="AA63" s="263">
        <v>174018</v>
      </c>
      <c r="AB63" s="264">
        <f t="shared" si="67"/>
        <v>30860</v>
      </c>
      <c r="AC63" s="75">
        <f t="shared" si="68"/>
        <v>416076.6</v>
      </c>
      <c r="AD63" s="315">
        <v>0.09</v>
      </c>
      <c r="AE63" s="268">
        <f>AC63*AD63</f>
        <v>37446.89399999999</v>
      </c>
      <c r="AF63" s="269"/>
      <c r="AG63" s="255"/>
      <c r="AH63" s="256">
        <f t="shared" si="69"/>
        <v>279103.6</v>
      </c>
      <c r="AI63" s="257">
        <f t="shared" si="32"/>
        <v>25119.323999999997</v>
      </c>
      <c r="AJ63" s="258">
        <f t="shared" si="33"/>
        <v>136973</v>
      </c>
      <c r="AK63" s="257">
        <f t="shared" si="34"/>
        <v>12327.57</v>
      </c>
    </row>
    <row r="64" spans="1:37" s="76" customFormat="1" ht="12.75">
      <c r="A64" s="121">
        <v>39387</v>
      </c>
      <c r="B64" s="116">
        <v>39405</v>
      </c>
      <c r="C64" s="250">
        <v>16827</v>
      </c>
      <c r="D64" s="192">
        <f t="shared" si="60"/>
        <v>46400</v>
      </c>
      <c r="E64" s="250">
        <v>51675</v>
      </c>
      <c r="F64" s="192">
        <f t="shared" si="61"/>
        <v>26080</v>
      </c>
      <c r="G64" s="316">
        <v>18477</v>
      </c>
      <c r="H64" s="192">
        <v>0</v>
      </c>
      <c r="I64" s="250">
        <v>20949</v>
      </c>
      <c r="J64" s="192">
        <f t="shared" si="58"/>
        <v>100500</v>
      </c>
      <c r="K64" s="316">
        <v>41419</v>
      </c>
      <c r="L64" s="192">
        <v>0</v>
      </c>
      <c r="M64" s="250">
        <v>41306</v>
      </c>
      <c r="N64" s="192">
        <f t="shared" si="59"/>
        <v>204600</v>
      </c>
      <c r="O64" s="250">
        <v>79355</v>
      </c>
      <c r="P64" s="192">
        <f t="shared" si="50"/>
        <v>15390</v>
      </c>
      <c r="Q64" s="250">
        <v>78917</v>
      </c>
      <c r="R64" s="192">
        <f t="shared" si="62"/>
        <v>14880</v>
      </c>
      <c r="S64" s="250">
        <v>16335</v>
      </c>
      <c r="T64" s="192">
        <f t="shared" si="63"/>
        <v>33610</v>
      </c>
      <c r="U64" s="250">
        <v>271841</v>
      </c>
      <c r="V64" s="192">
        <f t="shared" si="64"/>
        <v>5076</v>
      </c>
      <c r="W64" s="250">
        <v>145290</v>
      </c>
      <c r="X64" s="192">
        <f t="shared" si="65"/>
        <v>26830</v>
      </c>
      <c r="Y64" s="250">
        <v>72355</v>
      </c>
      <c r="Z64" s="192">
        <f t="shared" si="66"/>
        <v>14380</v>
      </c>
      <c r="AA64" s="250">
        <v>177049</v>
      </c>
      <c r="AB64" s="192">
        <f t="shared" si="67"/>
        <v>30310</v>
      </c>
      <c r="AC64" s="320">
        <f t="shared" si="68"/>
        <v>480122.4</v>
      </c>
      <c r="AD64" s="317">
        <v>0.09</v>
      </c>
      <c r="AE64" s="268">
        <f>IF(AC64="","",AC64*AD64)</f>
        <v>43211.016</v>
      </c>
      <c r="AF64" s="269"/>
      <c r="AG64" s="255"/>
      <c r="AH64" s="256">
        <f t="shared" si="69"/>
        <v>339646.4</v>
      </c>
      <c r="AI64" s="257">
        <f t="shared" si="32"/>
        <v>30568.176</v>
      </c>
      <c r="AJ64" s="258">
        <f t="shared" si="33"/>
        <v>140476</v>
      </c>
      <c r="AK64" s="257">
        <f t="shared" si="34"/>
        <v>12642.84</v>
      </c>
    </row>
    <row r="65" spans="1:37" s="76" customFormat="1" ht="13.5" thickBot="1">
      <c r="A65" s="121">
        <v>39417</v>
      </c>
      <c r="B65" s="116">
        <v>39430</v>
      </c>
      <c r="C65" s="191">
        <v>17144</v>
      </c>
      <c r="D65" s="192">
        <f t="shared" si="60"/>
        <v>31700</v>
      </c>
      <c r="E65" s="191">
        <v>53754</v>
      </c>
      <c r="F65" s="192">
        <f t="shared" si="61"/>
        <v>20790</v>
      </c>
      <c r="G65" s="193">
        <v>18477</v>
      </c>
      <c r="H65" s="192">
        <v>0</v>
      </c>
      <c r="I65" s="191">
        <v>21582</v>
      </c>
      <c r="J65" s="192">
        <f t="shared" si="58"/>
        <v>63300</v>
      </c>
      <c r="K65" s="193">
        <v>41419</v>
      </c>
      <c r="L65" s="192">
        <v>0</v>
      </c>
      <c r="M65" s="191">
        <v>42722</v>
      </c>
      <c r="N65" s="192">
        <f t="shared" si="59"/>
        <v>141600</v>
      </c>
      <c r="O65" s="191">
        <v>80641</v>
      </c>
      <c r="P65" s="192">
        <f t="shared" si="50"/>
        <v>12860</v>
      </c>
      <c r="Q65" s="191">
        <v>80118</v>
      </c>
      <c r="R65" s="192">
        <f t="shared" si="62"/>
        <v>12010</v>
      </c>
      <c r="S65" s="191">
        <v>19101</v>
      </c>
      <c r="T65" s="192">
        <f t="shared" si="63"/>
        <v>27660</v>
      </c>
      <c r="U65" s="191">
        <v>276536</v>
      </c>
      <c r="V65" s="192">
        <f t="shared" si="64"/>
        <v>4695</v>
      </c>
      <c r="W65" s="191">
        <v>147534</v>
      </c>
      <c r="X65" s="192">
        <f t="shared" si="65"/>
        <v>22440</v>
      </c>
      <c r="Y65" s="191">
        <v>73498</v>
      </c>
      <c r="Z65" s="192">
        <f t="shared" si="66"/>
        <v>11430</v>
      </c>
      <c r="AA65" s="191">
        <v>179537</v>
      </c>
      <c r="AB65" s="192">
        <f t="shared" si="67"/>
        <v>24880</v>
      </c>
      <c r="AC65" s="321">
        <f>D65+F65*$F$3+H65+J65+(L65+N65)*$K$3+P65+R65+T65+V65+X65+Z65+AB65</f>
        <v>345275.7</v>
      </c>
      <c r="AD65" s="318">
        <v>0.09</v>
      </c>
      <c r="AE65" s="277">
        <f aca="true" t="shared" si="70" ref="AE65:AE71">IF(AC65="","",AC65*AD65)</f>
        <v>31074.813</v>
      </c>
      <c r="AF65" s="319">
        <f>SUM(AE63:AE65)</f>
        <v>111732.723</v>
      </c>
      <c r="AG65" s="255"/>
      <c r="AH65" s="256">
        <f t="shared" si="69"/>
        <v>229300.7</v>
      </c>
      <c r="AI65" s="257">
        <f t="shared" si="32"/>
        <v>20637.063000000002</v>
      </c>
      <c r="AJ65" s="258">
        <f t="shared" si="33"/>
        <v>115975</v>
      </c>
      <c r="AK65" s="257">
        <f t="shared" si="34"/>
        <v>10437.75</v>
      </c>
    </row>
    <row r="66" spans="1:37" s="76" customFormat="1" ht="12.75">
      <c r="A66" s="322">
        <v>39448</v>
      </c>
      <c r="B66" s="116">
        <v>39461</v>
      </c>
      <c r="C66" s="263">
        <v>17397</v>
      </c>
      <c r="D66" s="256">
        <f t="shared" si="60"/>
        <v>25300</v>
      </c>
      <c r="E66" s="284">
        <v>55674</v>
      </c>
      <c r="F66" s="264">
        <f t="shared" si="61"/>
        <v>19200</v>
      </c>
      <c r="G66" s="284">
        <v>18477</v>
      </c>
      <c r="H66" s="264">
        <v>0</v>
      </c>
      <c r="I66" s="263">
        <v>22114</v>
      </c>
      <c r="J66" s="264">
        <f t="shared" si="58"/>
        <v>53200</v>
      </c>
      <c r="K66" s="284">
        <v>41419</v>
      </c>
      <c r="L66" s="264">
        <v>0</v>
      </c>
      <c r="M66" s="263">
        <v>43990</v>
      </c>
      <c r="N66" s="264">
        <f t="shared" si="59"/>
        <v>126800</v>
      </c>
      <c r="O66" s="263">
        <v>81707</v>
      </c>
      <c r="P66" s="264">
        <f t="shared" si="50"/>
        <v>10660</v>
      </c>
      <c r="Q66" s="263">
        <v>81076</v>
      </c>
      <c r="R66" s="264">
        <f t="shared" si="62"/>
        <v>9580</v>
      </c>
      <c r="S66" s="263">
        <v>21524</v>
      </c>
      <c r="T66" s="264">
        <f t="shared" si="63"/>
        <v>24230</v>
      </c>
      <c r="U66" s="263">
        <v>281157</v>
      </c>
      <c r="V66" s="264">
        <f t="shared" si="64"/>
        <v>4621</v>
      </c>
      <c r="W66" s="263">
        <v>149494</v>
      </c>
      <c r="X66" s="264">
        <f t="shared" si="65"/>
        <v>19600</v>
      </c>
      <c r="Y66" s="263">
        <v>74550</v>
      </c>
      <c r="Z66" s="264">
        <f t="shared" si="66"/>
        <v>10520</v>
      </c>
      <c r="AA66" s="263">
        <v>181726</v>
      </c>
      <c r="AB66" s="264">
        <f>AB51</f>
        <v>29290</v>
      </c>
      <c r="AC66" s="75">
        <f t="shared" si="68"/>
        <v>307457</v>
      </c>
      <c r="AD66" s="315">
        <v>0.09</v>
      </c>
      <c r="AE66" s="268">
        <f t="shared" si="70"/>
        <v>27671.129999999997</v>
      </c>
      <c r="AF66" s="269"/>
      <c r="AG66" s="453"/>
      <c r="AH66" s="256">
        <f t="shared" si="69"/>
        <v>198956</v>
      </c>
      <c r="AI66" s="257">
        <f t="shared" si="32"/>
        <v>17906.04</v>
      </c>
      <c r="AJ66" s="258">
        <f t="shared" si="33"/>
        <v>108501</v>
      </c>
      <c r="AK66" s="257">
        <f t="shared" si="34"/>
        <v>9765.09</v>
      </c>
    </row>
    <row r="67" spans="1:37" s="76" customFormat="1" ht="12.75">
      <c r="A67" s="322">
        <v>39479</v>
      </c>
      <c r="B67" s="116">
        <v>39492</v>
      </c>
      <c r="C67" s="250">
        <v>17778</v>
      </c>
      <c r="D67" s="192">
        <f t="shared" si="60"/>
        <v>38100</v>
      </c>
      <c r="E67" s="250">
        <v>58185</v>
      </c>
      <c r="F67" s="192">
        <f t="shared" si="61"/>
        <v>25110</v>
      </c>
      <c r="G67" s="316">
        <v>18477</v>
      </c>
      <c r="H67" s="192">
        <v>0</v>
      </c>
      <c r="I67" s="250">
        <v>22902</v>
      </c>
      <c r="J67" s="192">
        <f t="shared" si="58"/>
        <v>78800</v>
      </c>
      <c r="K67" s="316">
        <v>41419</v>
      </c>
      <c r="L67" s="192">
        <v>0</v>
      </c>
      <c r="M67" s="250">
        <f>M66+(M68-M66)/2</f>
        <v>45762.5</v>
      </c>
      <c r="N67" s="192">
        <f t="shared" si="59"/>
        <v>177250</v>
      </c>
      <c r="O67" s="250">
        <v>83189</v>
      </c>
      <c r="P67" s="192">
        <f t="shared" si="50"/>
        <v>14820</v>
      </c>
      <c r="Q67" s="250">
        <v>82527</v>
      </c>
      <c r="R67" s="192">
        <f t="shared" si="62"/>
        <v>14510</v>
      </c>
      <c r="S67" s="250">
        <v>24772</v>
      </c>
      <c r="T67" s="192">
        <f t="shared" si="63"/>
        <v>32480</v>
      </c>
      <c r="U67" s="250">
        <v>286279</v>
      </c>
      <c r="V67" s="192">
        <f t="shared" si="64"/>
        <v>5122</v>
      </c>
      <c r="W67" s="250">
        <v>152076</v>
      </c>
      <c r="X67" s="192">
        <f t="shared" si="65"/>
        <v>25820</v>
      </c>
      <c r="Y67" s="250">
        <v>75942</v>
      </c>
      <c r="Z67" s="192">
        <f t="shared" si="66"/>
        <v>13920</v>
      </c>
      <c r="AA67" s="250">
        <v>184625</v>
      </c>
      <c r="AB67" s="192">
        <f>AB52</f>
        <v>30110</v>
      </c>
      <c r="AC67" s="320">
        <f t="shared" si="68"/>
        <v>421493.3</v>
      </c>
      <c r="AD67" s="317">
        <v>0.09</v>
      </c>
      <c r="AE67" s="268">
        <f t="shared" si="70"/>
        <v>37934.397</v>
      </c>
      <c r="AF67" s="269"/>
      <c r="AG67" s="453"/>
      <c r="AH67" s="256">
        <f t="shared" si="69"/>
        <v>284711.3</v>
      </c>
      <c r="AI67" s="257">
        <f t="shared" si="32"/>
        <v>25624.016999999996</v>
      </c>
      <c r="AJ67" s="258">
        <f t="shared" si="33"/>
        <v>136782</v>
      </c>
      <c r="AK67" s="257">
        <f t="shared" si="34"/>
        <v>12310.38</v>
      </c>
    </row>
    <row r="68" spans="1:37" s="76" customFormat="1" ht="13.5" thickBot="1">
      <c r="A68" s="322">
        <v>39508</v>
      </c>
      <c r="B68" s="116">
        <v>39524</v>
      </c>
      <c r="C68" s="191">
        <v>18155</v>
      </c>
      <c r="D68" s="192">
        <f t="shared" si="60"/>
        <v>37700</v>
      </c>
      <c r="E68" s="191">
        <v>60653</v>
      </c>
      <c r="F68" s="194">
        <f>F53</f>
        <v>25620</v>
      </c>
      <c r="G68" s="193">
        <v>18477</v>
      </c>
      <c r="H68" s="192">
        <v>0</v>
      </c>
      <c r="I68" s="191">
        <v>23682</v>
      </c>
      <c r="J68" s="192">
        <f t="shared" si="58"/>
        <v>78000</v>
      </c>
      <c r="K68" s="193">
        <v>41419</v>
      </c>
      <c r="L68" s="192">
        <v>0</v>
      </c>
      <c r="M68" s="191">
        <v>47535</v>
      </c>
      <c r="N68" s="192">
        <f t="shared" si="59"/>
        <v>177250</v>
      </c>
      <c r="O68" s="191">
        <v>84512</v>
      </c>
      <c r="P68" s="192">
        <f t="shared" si="50"/>
        <v>13230</v>
      </c>
      <c r="Q68" s="191">
        <v>83855</v>
      </c>
      <c r="R68" s="192">
        <f t="shared" si="62"/>
        <v>13280</v>
      </c>
      <c r="S68" s="191">
        <v>27821</v>
      </c>
      <c r="T68" s="192">
        <f t="shared" si="63"/>
        <v>30490</v>
      </c>
      <c r="U68" s="191">
        <v>290724</v>
      </c>
      <c r="V68" s="192">
        <f t="shared" si="64"/>
        <v>4445</v>
      </c>
      <c r="W68" s="191">
        <v>154580</v>
      </c>
      <c r="X68" s="192">
        <f t="shared" si="65"/>
        <v>25040</v>
      </c>
      <c r="Y68" s="191">
        <v>77206</v>
      </c>
      <c r="Z68" s="192">
        <f t="shared" si="66"/>
        <v>12640</v>
      </c>
      <c r="AA68" s="191">
        <v>187369</v>
      </c>
      <c r="AB68" s="192">
        <f>AB53</f>
        <v>25875</v>
      </c>
      <c r="AC68" s="321">
        <f t="shared" si="68"/>
        <v>408679.6</v>
      </c>
      <c r="AD68" s="318">
        <v>0.09</v>
      </c>
      <c r="AE68" s="277">
        <f t="shared" si="70"/>
        <v>36781.164</v>
      </c>
      <c r="AF68" s="319">
        <f>SUM(AE66:AE68)</f>
        <v>102386.69099999999</v>
      </c>
      <c r="AG68" s="453"/>
      <c r="AH68" s="256">
        <f t="shared" si="69"/>
        <v>283679.6</v>
      </c>
      <c r="AI68" s="257">
        <f t="shared" si="32"/>
        <v>25531.163999999997</v>
      </c>
      <c r="AJ68" s="258">
        <f t="shared" si="33"/>
        <v>125000</v>
      </c>
      <c r="AK68" s="257">
        <f t="shared" si="34"/>
        <v>11250</v>
      </c>
    </row>
    <row r="69" spans="1:37" s="115" customFormat="1" ht="12.75">
      <c r="A69" s="322">
        <v>39539</v>
      </c>
      <c r="B69" s="116">
        <v>39553</v>
      </c>
      <c r="C69" s="263">
        <v>18471</v>
      </c>
      <c r="D69" s="264">
        <f t="shared" si="60"/>
        <v>31600</v>
      </c>
      <c r="E69" s="263">
        <v>62429</v>
      </c>
      <c r="F69" s="264">
        <f aca="true" t="shared" si="71" ref="F69:F81">(E69-E68)*10</f>
        <v>17760</v>
      </c>
      <c r="G69" s="263">
        <v>18477</v>
      </c>
      <c r="H69" s="264">
        <f>(G69-G68)*100</f>
        <v>0</v>
      </c>
      <c r="I69" s="62">
        <v>24412</v>
      </c>
      <c r="J69" s="63">
        <f>(I69-I68)*100</f>
        <v>73000</v>
      </c>
      <c r="K69" s="66">
        <v>41419</v>
      </c>
      <c r="L69" s="63">
        <f aca="true" t="shared" si="72" ref="L69:L99">(K69-K68)*100</f>
        <v>0</v>
      </c>
      <c r="M69" s="66">
        <v>49194</v>
      </c>
      <c r="N69" s="63">
        <f>(M69-M68)*100</f>
        <v>165900</v>
      </c>
      <c r="O69" s="66">
        <v>85690</v>
      </c>
      <c r="P69" s="63">
        <f t="shared" si="50"/>
        <v>11780</v>
      </c>
      <c r="Q69" s="66">
        <v>84859</v>
      </c>
      <c r="R69" s="63">
        <f aca="true" t="shared" si="73" ref="R69:R95">(Q69-Q68)*10</f>
        <v>10040</v>
      </c>
      <c r="S69" s="66">
        <v>30256</v>
      </c>
      <c r="T69" s="63">
        <f aca="true" t="shared" si="74" ref="T69:T95">(S69-S68)*10</f>
        <v>24350</v>
      </c>
      <c r="U69" s="66">
        <v>294071</v>
      </c>
      <c r="V69" s="63">
        <f aca="true" t="shared" si="75" ref="V69:V95">(U69-U68)</f>
        <v>3347</v>
      </c>
      <c r="W69" s="66">
        <v>156687</v>
      </c>
      <c r="X69" s="63">
        <f>(W69-W68)*10</f>
        <v>21070</v>
      </c>
      <c r="Y69" s="66">
        <v>78220</v>
      </c>
      <c r="Z69" s="63">
        <f aca="true" t="shared" si="76" ref="Z69:Z95">(Y69-Y68)*10</f>
        <v>10140</v>
      </c>
      <c r="AA69" s="66">
        <v>189638</v>
      </c>
      <c r="AB69" s="63">
        <f aca="true" t="shared" si="77" ref="AB69:AB95">(AA69-AA68)*10</f>
        <v>22690</v>
      </c>
      <c r="AC69" s="140">
        <f t="shared" si="68"/>
        <v>363187.8</v>
      </c>
      <c r="AD69" s="205">
        <v>0.09</v>
      </c>
      <c r="AE69" s="130">
        <f t="shared" si="70"/>
        <v>32686.902</v>
      </c>
      <c r="AF69" s="206"/>
      <c r="AG69" s="454"/>
      <c r="AH69" s="147">
        <f t="shared" si="69"/>
        <v>259770.8</v>
      </c>
      <c r="AI69" s="186">
        <f t="shared" si="32"/>
        <v>23379.372</v>
      </c>
      <c r="AJ69" s="187">
        <f t="shared" si="33"/>
        <v>103417</v>
      </c>
      <c r="AK69" s="186">
        <f t="shared" si="34"/>
        <v>9307.529999999999</v>
      </c>
    </row>
    <row r="70" spans="1:37" s="115" customFormat="1" ht="12.75">
      <c r="A70" s="199">
        <v>39569</v>
      </c>
      <c r="B70" s="116">
        <v>39583</v>
      </c>
      <c r="C70" s="250">
        <v>18714</v>
      </c>
      <c r="D70" s="192">
        <f t="shared" si="60"/>
        <v>24300</v>
      </c>
      <c r="E70" s="250">
        <v>63968</v>
      </c>
      <c r="F70" s="192">
        <f t="shared" si="71"/>
        <v>15390</v>
      </c>
      <c r="G70" s="250">
        <v>18835</v>
      </c>
      <c r="H70" s="192">
        <f>(G70-G69)*100</f>
        <v>35800</v>
      </c>
      <c r="I70" s="250">
        <v>24656</v>
      </c>
      <c r="J70" s="192">
        <f>(I70-I69)*100</f>
        <v>24400</v>
      </c>
      <c r="K70" s="250">
        <v>42293</v>
      </c>
      <c r="L70" s="192">
        <f t="shared" si="72"/>
        <v>87400</v>
      </c>
      <c r="M70" s="250" t="s">
        <v>117</v>
      </c>
      <c r="N70" s="57"/>
      <c r="O70" s="58">
        <v>86723</v>
      </c>
      <c r="P70" s="59">
        <f t="shared" si="50"/>
        <v>10330</v>
      </c>
      <c r="Q70" s="58">
        <v>85732</v>
      </c>
      <c r="R70" s="59">
        <f t="shared" si="73"/>
        <v>8730</v>
      </c>
      <c r="S70" s="58">
        <v>32330</v>
      </c>
      <c r="T70" s="59">
        <f t="shared" si="74"/>
        <v>20740</v>
      </c>
      <c r="U70" s="58">
        <v>297564</v>
      </c>
      <c r="V70" s="59">
        <f t="shared" si="75"/>
        <v>3493</v>
      </c>
      <c r="W70" s="58">
        <v>158536</v>
      </c>
      <c r="X70" s="59">
        <f>(W70-W69)*10</f>
        <v>18490</v>
      </c>
      <c r="Y70" s="58">
        <v>79164</v>
      </c>
      <c r="Z70" s="59">
        <f t="shared" si="76"/>
        <v>9440</v>
      </c>
      <c r="AA70" s="58">
        <v>191633</v>
      </c>
      <c r="AB70" s="59">
        <f t="shared" si="77"/>
        <v>19950</v>
      </c>
      <c r="AC70" s="129">
        <f t="shared" si="68"/>
        <v>259411.7</v>
      </c>
      <c r="AD70" s="207">
        <v>0.09</v>
      </c>
      <c r="AE70" s="130">
        <f t="shared" si="70"/>
        <v>23347.053</v>
      </c>
      <c r="AF70" s="206"/>
      <c r="AG70" s="454"/>
      <c r="AH70" s="147">
        <f t="shared" si="69"/>
        <v>168238.7</v>
      </c>
      <c r="AI70" s="186">
        <f t="shared" si="32"/>
        <v>15141.483</v>
      </c>
      <c r="AJ70" s="187">
        <f t="shared" si="33"/>
        <v>91173</v>
      </c>
      <c r="AK70" s="186">
        <f t="shared" si="34"/>
        <v>8205.57</v>
      </c>
    </row>
    <row r="71" spans="1:37" s="54" customFormat="1" ht="13.5" thickBot="1">
      <c r="A71" s="199">
        <v>39600</v>
      </c>
      <c r="B71" s="178">
        <v>39615</v>
      </c>
      <c r="C71" s="191">
        <v>18884</v>
      </c>
      <c r="D71" s="194">
        <f t="shared" si="60"/>
        <v>17000</v>
      </c>
      <c r="E71" s="191">
        <v>65296</v>
      </c>
      <c r="F71" s="192">
        <f t="shared" si="71"/>
        <v>13280</v>
      </c>
      <c r="G71" s="193">
        <v>19394</v>
      </c>
      <c r="H71" s="194">
        <f>(G71-G70)*100</f>
        <v>55900</v>
      </c>
      <c r="I71" s="191">
        <v>24656</v>
      </c>
      <c r="J71" s="194">
        <f>(I71-I70)*100</f>
        <v>0</v>
      </c>
      <c r="K71" s="191">
        <v>43572</v>
      </c>
      <c r="L71" s="194">
        <f t="shared" si="72"/>
        <v>127900</v>
      </c>
      <c r="M71" s="191">
        <v>49951</v>
      </c>
      <c r="N71" s="194">
        <f>(M71-M69)*100</f>
        <v>75700</v>
      </c>
      <c r="O71" s="191">
        <v>87964</v>
      </c>
      <c r="P71" s="194">
        <f t="shared" si="50"/>
        <v>12410</v>
      </c>
      <c r="Q71" s="191">
        <v>87020</v>
      </c>
      <c r="R71" s="194">
        <f t="shared" si="73"/>
        <v>12880</v>
      </c>
      <c r="S71" s="191">
        <v>34446</v>
      </c>
      <c r="T71" s="194">
        <f t="shared" si="74"/>
        <v>21160</v>
      </c>
      <c r="U71" s="191">
        <v>302137</v>
      </c>
      <c r="V71" s="194">
        <f t="shared" si="75"/>
        <v>4573</v>
      </c>
      <c r="W71" s="191">
        <v>160454</v>
      </c>
      <c r="X71" s="194">
        <f>(W71-W70)*10</f>
        <v>19180</v>
      </c>
      <c r="Y71" s="191">
        <v>80178</v>
      </c>
      <c r="Z71" s="194">
        <f t="shared" si="76"/>
        <v>10140</v>
      </c>
      <c r="AA71" s="191">
        <v>194269</v>
      </c>
      <c r="AB71" s="194">
        <f t="shared" si="77"/>
        <v>26360</v>
      </c>
      <c r="AC71" s="275">
        <f t="shared" si="68"/>
        <v>367225.4</v>
      </c>
      <c r="AD71" s="318">
        <v>0.09</v>
      </c>
      <c r="AE71" s="277">
        <f t="shared" si="70"/>
        <v>33050.286</v>
      </c>
      <c r="AF71" s="278">
        <f>SUM(AE69:AE71)</f>
        <v>89084.24100000001</v>
      </c>
      <c r="AG71" s="455"/>
      <c r="AH71" s="147">
        <f t="shared" si="69"/>
        <v>260522.4</v>
      </c>
      <c r="AI71" s="186">
        <f t="shared" si="32"/>
        <v>23447.016</v>
      </c>
      <c r="AJ71" s="187">
        <f t="shared" si="33"/>
        <v>106703</v>
      </c>
      <c r="AK71" s="186">
        <f t="shared" si="34"/>
        <v>9603.27</v>
      </c>
    </row>
    <row r="72" spans="1:37" s="487" customFormat="1" ht="12.75">
      <c r="A72" s="484">
        <v>39630</v>
      </c>
      <c r="B72" s="178">
        <v>39646</v>
      </c>
      <c r="C72" s="263">
        <v>19055</v>
      </c>
      <c r="D72" s="485">
        <f t="shared" si="60"/>
        <v>17100</v>
      </c>
      <c r="E72" s="263">
        <v>66602</v>
      </c>
      <c r="F72" s="485">
        <f t="shared" si="71"/>
        <v>13060</v>
      </c>
      <c r="G72" s="263">
        <v>19938</v>
      </c>
      <c r="H72" s="485">
        <f>(G72-G71)*100</f>
        <v>54400</v>
      </c>
      <c r="I72" s="263">
        <v>24656</v>
      </c>
      <c r="J72" s="485">
        <v>0</v>
      </c>
      <c r="K72" s="263">
        <v>45012</v>
      </c>
      <c r="L72" s="485">
        <f t="shared" si="72"/>
        <v>144000</v>
      </c>
      <c r="M72" s="263">
        <v>49951</v>
      </c>
      <c r="N72" s="485">
        <f aca="true" t="shared" si="78" ref="N72:N77">(M72-M71)*100</f>
        <v>0</v>
      </c>
      <c r="O72" s="284">
        <v>89245</v>
      </c>
      <c r="P72" s="485">
        <f t="shared" si="50"/>
        <v>12810</v>
      </c>
      <c r="Q72" s="263">
        <v>88501</v>
      </c>
      <c r="R72" s="485">
        <f t="shared" si="73"/>
        <v>14810</v>
      </c>
      <c r="S72" s="263">
        <v>36973</v>
      </c>
      <c r="T72" s="485">
        <f t="shared" si="74"/>
        <v>25270</v>
      </c>
      <c r="U72" s="263">
        <v>306543</v>
      </c>
      <c r="V72" s="485">
        <f t="shared" si="75"/>
        <v>4406</v>
      </c>
      <c r="W72" s="263">
        <v>162603</v>
      </c>
      <c r="X72" s="485">
        <f>(W72-W71)*10</f>
        <v>21490</v>
      </c>
      <c r="Y72" s="263">
        <v>81359</v>
      </c>
      <c r="Z72" s="485">
        <f t="shared" si="76"/>
        <v>11810</v>
      </c>
      <c r="AA72" s="263">
        <v>196865</v>
      </c>
      <c r="AB72" s="485">
        <f t="shared" si="77"/>
        <v>25960</v>
      </c>
      <c r="AC72" s="314">
        <f aca="true" t="shared" si="79" ref="AC72:AC77">D72+F72*$F$3+H72+J72+(L72+N72)*$K$3+P72+R72+T72+V72+X72+Z72+AB72</f>
        <v>321965.8</v>
      </c>
      <c r="AD72" s="315">
        <v>0.08349999999999999</v>
      </c>
      <c r="AE72" s="268">
        <f>AC72*AD72</f>
        <v>26884.144299999996</v>
      </c>
      <c r="AF72" s="269"/>
      <c r="AG72" s="502"/>
      <c r="AH72" s="75">
        <f>D72+F72*$F$3+H72+J72+(L72+N72)*$K$3</f>
        <v>205409.8</v>
      </c>
      <c r="AI72" s="494">
        <f aca="true" t="shared" si="80" ref="AI72:AI83">AH72*AD72</f>
        <v>17151.718299999997</v>
      </c>
      <c r="AJ72" s="335">
        <f aca="true" t="shared" si="81" ref="AJ72:AJ83">P72+R72+T72+V72+X72+Z72+AB72</f>
        <v>116556</v>
      </c>
      <c r="AK72" s="494">
        <f>AJ72*AD72</f>
        <v>9732.426</v>
      </c>
    </row>
    <row r="73" spans="1:37" s="353" customFormat="1" ht="12.75">
      <c r="A73" s="503">
        <v>39661</v>
      </c>
      <c r="B73" s="178">
        <v>39675</v>
      </c>
      <c r="C73" s="250">
        <v>19247</v>
      </c>
      <c r="D73" s="320">
        <f t="shared" si="60"/>
        <v>19200</v>
      </c>
      <c r="E73" s="250">
        <v>67997</v>
      </c>
      <c r="F73" s="320">
        <f t="shared" si="71"/>
        <v>13950</v>
      </c>
      <c r="G73" s="250">
        <v>20481</v>
      </c>
      <c r="H73" s="320">
        <f>(G73-G72)*100</f>
        <v>54300</v>
      </c>
      <c r="I73" s="250">
        <v>24656</v>
      </c>
      <c r="J73" s="320">
        <v>0</v>
      </c>
      <c r="K73" s="250">
        <v>46676</v>
      </c>
      <c r="L73" s="320">
        <f t="shared" si="72"/>
        <v>166400</v>
      </c>
      <c r="M73" s="250">
        <v>49951</v>
      </c>
      <c r="N73" s="320">
        <f t="shared" si="78"/>
        <v>0</v>
      </c>
      <c r="O73" s="316">
        <v>90768</v>
      </c>
      <c r="P73" s="320">
        <f t="shared" si="50"/>
        <v>15230</v>
      </c>
      <c r="Q73" s="250">
        <v>90010</v>
      </c>
      <c r="R73" s="320">
        <f t="shared" si="73"/>
        <v>15090</v>
      </c>
      <c r="S73" s="250">
        <v>39850</v>
      </c>
      <c r="T73" s="320">
        <f t="shared" si="74"/>
        <v>28770</v>
      </c>
      <c r="U73" s="250">
        <v>313064</v>
      </c>
      <c r="V73" s="320">
        <f t="shared" si="75"/>
        <v>6521</v>
      </c>
      <c r="W73" s="250">
        <v>164929</v>
      </c>
      <c r="X73" s="320">
        <f>(W73-W72)*10</f>
        <v>23260</v>
      </c>
      <c r="Y73" s="250">
        <v>82626</v>
      </c>
      <c r="Z73" s="320">
        <f t="shared" si="76"/>
        <v>12670</v>
      </c>
      <c r="AA73" s="250">
        <v>199472</v>
      </c>
      <c r="AB73" s="320">
        <f t="shared" si="77"/>
        <v>26070</v>
      </c>
      <c r="AC73" s="266">
        <f t="shared" si="79"/>
        <v>355474.5</v>
      </c>
      <c r="AD73" s="317">
        <v>0.08349999999999999</v>
      </c>
      <c r="AE73" s="268">
        <f>AC73*AD73</f>
        <v>29682.12075</v>
      </c>
      <c r="AF73" s="269"/>
      <c r="AG73" s="502"/>
      <c r="AH73" s="75">
        <f aca="true" t="shared" si="82" ref="AH73:AH83">D73+F73*$F$3+H73+J73+(L73+N73)*$K$3</f>
        <v>227863.5</v>
      </c>
      <c r="AI73" s="494">
        <f t="shared" si="80"/>
        <v>19026.602249999996</v>
      </c>
      <c r="AJ73" s="335">
        <f t="shared" si="81"/>
        <v>127611</v>
      </c>
      <c r="AK73" s="494">
        <f aca="true" t="shared" si="83" ref="AK73:AK83">AJ73*AD73</f>
        <v>10655.518499999998</v>
      </c>
    </row>
    <row r="74" spans="1:37" s="353" customFormat="1" ht="13.5" thickBot="1">
      <c r="A74" s="354">
        <v>39692</v>
      </c>
      <c r="B74" s="178">
        <v>39706</v>
      </c>
      <c r="C74" s="193">
        <v>19535</v>
      </c>
      <c r="D74" s="321">
        <f t="shared" si="60"/>
        <v>28800</v>
      </c>
      <c r="E74" s="193">
        <v>69508</v>
      </c>
      <c r="F74" s="321">
        <f t="shared" si="71"/>
        <v>15110</v>
      </c>
      <c r="G74" s="193" t="s">
        <v>133</v>
      </c>
      <c r="H74" s="321">
        <f>H75</f>
        <v>0</v>
      </c>
      <c r="I74" s="191">
        <v>24656</v>
      </c>
      <c r="J74" s="321">
        <v>0</v>
      </c>
      <c r="K74" s="191">
        <v>48262</v>
      </c>
      <c r="L74" s="321">
        <f t="shared" si="72"/>
        <v>158600</v>
      </c>
      <c r="M74" s="191">
        <v>49951</v>
      </c>
      <c r="N74" s="321">
        <f t="shared" si="78"/>
        <v>0</v>
      </c>
      <c r="O74" s="193">
        <v>92367</v>
      </c>
      <c r="P74" s="321">
        <f t="shared" si="50"/>
        <v>15990</v>
      </c>
      <c r="Q74" s="191">
        <v>91489</v>
      </c>
      <c r="R74" s="321">
        <f t="shared" si="73"/>
        <v>14790</v>
      </c>
      <c r="S74" s="191">
        <v>43453</v>
      </c>
      <c r="T74" s="321">
        <f t="shared" si="74"/>
        <v>36030</v>
      </c>
      <c r="U74" s="191">
        <v>319614</v>
      </c>
      <c r="V74" s="321">
        <f t="shared" si="75"/>
        <v>6550</v>
      </c>
      <c r="W74" s="191" t="s">
        <v>119</v>
      </c>
      <c r="X74" s="490">
        <f>AVERAGE(X71:X73)</f>
        <v>21310</v>
      </c>
      <c r="Y74" s="191">
        <v>84105</v>
      </c>
      <c r="Z74" s="321">
        <f t="shared" si="76"/>
        <v>14790</v>
      </c>
      <c r="AA74" s="191">
        <v>202687</v>
      </c>
      <c r="AB74" s="321">
        <f t="shared" si="77"/>
        <v>32150</v>
      </c>
      <c r="AC74" s="275">
        <f t="shared" si="79"/>
        <v>318136.3</v>
      </c>
      <c r="AD74" s="318">
        <v>0.08349999999999999</v>
      </c>
      <c r="AE74" s="277">
        <f>AC74*AD74</f>
        <v>26564.381049999996</v>
      </c>
      <c r="AF74" s="319">
        <f>SUM(AE72:AE74)</f>
        <v>83130.64609999998</v>
      </c>
      <c r="AG74" s="502"/>
      <c r="AH74" s="75">
        <f t="shared" si="82"/>
        <v>176526.3</v>
      </c>
      <c r="AI74" s="494">
        <f t="shared" si="80"/>
        <v>14739.946049999997</v>
      </c>
      <c r="AJ74" s="335">
        <f t="shared" si="81"/>
        <v>141610</v>
      </c>
      <c r="AK74" s="494">
        <f t="shared" si="83"/>
        <v>11824.435</v>
      </c>
    </row>
    <row r="75" spans="1:37" s="353" customFormat="1" ht="12.75">
      <c r="A75" s="354">
        <v>39722</v>
      </c>
      <c r="B75" s="178">
        <v>39736</v>
      </c>
      <c r="C75" s="263">
        <v>19892</v>
      </c>
      <c r="D75" s="485">
        <f t="shared" si="60"/>
        <v>35700</v>
      </c>
      <c r="E75" s="263">
        <v>71272</v>
      </c>
      <c r="F75" s="485">
        <f t="shared" si="71"/>
        <v>17640</v>
      </c>
      <c r="G75" s="263" t="s">
        <v>133</v>
      </c>
      <c r="H75" s="485">
        <f>H76</f>
        <v>0</v>
      </c>
      <c r="I75" s="263">
        <v>24656</v>
      </c>
      <c r="J75" s="485">
        <v>0</v>
      </c>
      <c r="K75" s="263">
        <v>50046</v>
      </c>
      <c r="L75" s="485">
        <f t="shared" si="72"/>
        <v>178400</v>
      </c>
      <c r="M75" s="250">
        <v>49951</v>
      </c>
      <c r="N75" s="320">
        <f t="shared" si="78"/>
        <v>0</v>
      </c>
      <c r="O75" s="263">
        <v>93845</v>
      </c>
      <c r="P75" s="485">
        <f t="shared" si="50"/>
        <v>14780</v>
      </c>
      <c r="Q75" s="284">
        <v>92940</v>
      </c>
      <c r="R75" s="75">
        <f t="shared" si="73"/>
        <v>14510</v>
      </c>
      <c r="S75" s="263">
        <v>46765</v>
      </c>
      <c r="T75" s="485">
        <f t="shared" si="74"/>
        <v>33120</v>
      </c>
      <c r="U75" s="263">
        <v>324436</v>
      </c>
      <c r="V75" s="485">
        <f t="shared" si="75"/>
        <v>4822</v>
      </c>
      <c r="W75" s="316" t="s">
        <v>119</v>
      </c>
      <c r="X75" s="493">
        <f aca="true" t="shared" si="84" ref="X75:X80">X63</f>
        <v>26500</v>
      </c>
      <c r="Y75" s="263">
        <v>85444</v>
      </c>
      <c r="Z75" s="485">
        <f t="shared" si="76"/>
        <v>13390</v>
      </c>
      <c r="AA75" s="263">
        <v>205933</v>
      </c>
      <c r="AB75" s="485">
        <f t="shared" si="77"/>
        <v>32460</v>
      </c>
      <c r="AC75" s="75">
        <f t="shared" si="79"/>
        <v>341663.2</v>
      </c>
      <c r="AD75" s="315">
        <v>0.08349999999999999</v>
      </c>
      <c r="AE75" s="268">
        <f>AC75*AD75</f>
        <v>28528.8772</v>
      </c>
      <c r="AF75" s="269"/>
      <c r="AG75" s="502"/>
      <c r="AH75" s="75">
        <f t="shared" si="82"/>
        <v>202081.2</v>
      </c>
      <c r="AI75" s="494">
        <f t="shared" si="80"/>
        <v>16873.780199999997</v>
      </c>
      <c r="AJ75" s="335">
        <f t="shared" si="81"/>
        <v>139582</v>
      </c>
      <c r="AK75" s="494">
        <f t="shared" si="83"/>
        <v>11655.096999999998</v>
      </c>
    </row>
    <row r="76" spans="1:37" s="353" customFormat="1" ht="12.75">
      <c r="A76" s="354">
        <v>39753</v>
      </c>
      <c r="B76" s="178">
        <v>39770</v>
      </c>
      <c r="C76" s="250">
        <v>20349</v>
      </c>
      <c r="D76" s="320">
        <f t="shared" si="60"/>
        <v>45700</v>
      </c>
      <c r="E76" s="250">
        <v>73696</v>
      </c>
      <c r="F76" s="320">
        <f t="shared" si="71"/>
        <v>24240</v>
      </c>
      <c r="G76" s="250" t="s">
        <v>133</v>
      </c>
      <c r="H76" s="320">
        <f>H77</f>
        <v>0</v>
      </c>
      <c r="I76" s="250">
        <v>24656</v>
      </c>
      <c r="J76" s="320">
        <v>0</v>
      </c>
      <c r="K76" s="250">
        <v>52050</v>
      </c>
      <c r="L76" s="320">
        <f t="shared" si="72"/>
        <v>200400</v>
      </c>
      <c r="M76" s="250">
        <v>49951</v>
      </c>
      <c r="N76" s="320">
        <f t="shared" si="78"/>
        <v>0</v>
      </c>
      <c r="O76" s="250">
        <v>95197</v>
      </c>
      <c r="P76" s="320">
        <f t="shared" si="50"/>
        <v>13520</v>
      </c>
      <c r="Q76" s="316">
        <v>94393</v>
      </c>
      <c r="R76" s="75">
        <f t="shared" si="73"/>
        <v>14530</v>
      </c>
      <c r="S76" s="250">
        <v>49947</v>
      </c>
      <c r="T76" s="320">
        <f t="shared" si="74"/>
        <v>31820</v>
      </c>
      <c r="U76" s="250">
        <v>330640</v>
      </c>
      <c r="V76" s="320">
        <f t="shared" si="75"/>
        <v>6204</v>
      </c>
      <c r="W76" s="316" t="s">
        <v>119</v>
      </c>
      <c r="X76" s="168">
        <f t="shared" si="84"/>
        <v>26830</v>
      </c>
      <c r="Y76" s="250">
        <v>86692</v>
      </c>
      <c r="Z76" s="320">
        <f t="shared" si="76"/>
        <v>12480</v>
      </c>
      <c r="AA76" s="250">
        <v>208922</v>
      </c>
      <c r="AB76" s="320">
        <f t="shared" si="77"/>
        <v>29890</v>
      </c>
      <c r="AC76" s="320">
        <f t="shared" si="79"/>
        <v>369333.2</v>
      </c>
      <c r="AD76" s="317">
        <v>0.08349999999999999</v>
      </c>
      <c r="AE76" s="268">
        <f>IF(AC76="","",AC76*AD76)</f>
        <v>30839.3222</v>
      </c>
      <c r="AF76" s="269"/>
      <c r="AG76" s="502"/>
      <c r="AH76" s="75">
        <f t="shared" si="82"/>
        <v>234059.2</v>
      </c>
      <c r="AI76" s="494">
        <f t="shared" si="80"/>
        <v>19543.943199999998</v>
      </c>
      <c r="AJ76" s="335">
        <f t="shared" si="81"/>
        <v>135274</v>
      </c>
      <c r="AK76" s="494">
        <f t="shared" si="83"/>
        <v>11295.378999999999</v>
      </c>
    </row>
    <row r="77" spans="1:37" s="353" customFormat="1" ht="13.5" thickBot="1">
      <c r="A77" s="354">
        <v>39783</v>
      </c>
      <c r="B77" s="178">
        <v>39797</v>
      </c>
      <c r="C77" s="193">
        <v>20669</v>
      </c>
      <c r="D77" s="321">
        <f t="shared" si="60"/>
        <v>32000</v>
      </c>
      <c r="E77" s="193">
        <v>75768</v>
      </c>
      <c r="F77" s="321">
        <f t="shared" si="71"/>
        <v>20720</v>
      </c>
      <c r="G77" s="438" t="s">
        <v>133</v>
      </c>
      <c r="H77" s="321">
        <v>0</v>
      </c>
      <c r="I77" s="191">
        <v>24656</v>
      </c>
      <c r="J77" s="321">
        <v>0</v>
      </c>
      <c r="K77" s="191">
        <v>53511</v>
      </c>
      <c r="L77" s="321">
        <f t="shared" si="72"/>
        <v>146100</v>
      </c>
      <c r="M77" s="191">
        <v>49951</v>
      </c>
      <c r="N77" s="321">
        <f t="shared" si="78"/>
        <v>0</v>
      </c>
      <c r="O77" s="191">
        <v>96305</v>
      </c>
      <c r="P77" s="321">
        <f t="shared" si="50"/>
        <v>11080</v>
      </c>
      <c r="Q77" s="193">
        <v>95581</v>
      </c>
      <c r="R77" s="351">
        <f t="shared" si="73"/>
        <v>11880</v>
      </c>
      <c r="S77" s="191">
        <v>52640</v>
      </c>
      <c r="T77" s="321">
        <f t="shared" si="74"/>
        <v>26930</v>
      </c>
      <c r="U77" s="191">
        <v>336268</v>
      </c>
      <c r="V77" s="321">
        <f t="shared" si="75"/>
        <v>5628</v>
      </c>
      <c r="W77" s="193" t="s">
        <v>119</v>
      </c>
      <c r="X77" s="168">
        <f t="shared" si="84"/>
        <v>22440</v>
      </c>
      <c r="Y77" s="191">
        <v>87817</v>
      </c>
      <c r="Z77" s="321">
        <f t="shared" si="76"/>
        <v>11250</v>
      </c>
      <c r="AA77" s="191">
        <v>211419</v>
      </c>
      <c r="AB77" s="321">
        <f t="shared" si="77"/>
        <v>24970</v>
      </c>
      <c r="AC77" s="321">
        <f t="shared" si="79"/>
        <v>284505.6</v>
      </c>
      <c r="AD77" s="318">
        <v>0.08349999999999999</v>
      </c>
      <c r="AE77" s="277">
        <f aca="true" t="shared" si="85" ref="AE77:AE83">IF(AC77="","",AC77*AD77)</f>
        <v>23756.217599999996</v>
      </c>
      <c r="AF77" s="319">
        <f>SUM(AE75:AE77)</f>
        <v>83124.41699999999</v>
      </c>
      <c r="AG77" s="502"/>
      <c r="AH77" s="75">
        <f t="shared" si="82"/>
        <v>170327.6</v>
      </c>
      <c r="AI77" s="494">
        <f t="shared" si="80"/>
        <v>14222.354599999999</v>
      </c>
      <c r="AJ77" s="335">
        <f t="shared" si="81"/>
        <v>114178</v>
      </c>
      <c r="AK77" s="494">
        <f t="shared" si="83"/>
        <v>9533.863</v>
      </c>
    </row>
    <row r="78" spans="1:37" s="355" customFormat="1" ht="12.75">
      <c r="A78" s="484">
        <v>39814</v>
      </c>
      <c r="B78" s="178">
        <v>39829</v>
      </c>
      <c r="C78" s="263">
        <v>20967</v>
      </c>
      <c r="D78" s="320">
        <f t="shared" si="60"/>
        <v>29800</v>
      </c>
      <c r="E78" s="263">
        <v>77745</v>
      </c>
      <c r="F78" s="485">
        <f t="shared" si="71"/>
        <v>19770</v>
      </c>
      <c r="G78" s="263">
        <v>24084</v>
      </c>
      <c r="H78" s="320">
        <f>(G78-G73)*100</f>
        <v>360300</v>
      </c>
      <c r="I78" s="250">
        <v>24656</v>
      </c>
      <c r="J78" s="485">
        <v>0</v>
      </c>
      <c r="K78" s="263">
        <v>54935</v>
      </c>
      <c r="L78" s="485">
        <f t="shared" si="72"/>
        <v>142400</v>
      </c>
      <c r="M78" s="250">
        <v>49951</v>
      </c>
      <c r="N78" s="493">
        <v>0</v>
      </c>
      <c r="O78" s="64">
        <v>97542</v>
      </c>
      <c r="P78" s="485">
        <f t="shared" si="50"/>
        <v>12370</v>
      </c>
      <c r="Q78" s="66">
        <v>96847</v>
      </c>
      <c r="R78" s="75">
        <f t="shared" si="73"/>
        <v>12660</v>
      </c>
      <c r="S78" s="66">
        <v>55736</v>
      </c>
      <c r="T78" s="75">
        <f t="shared" si="74"/>
        <v>30960</v>
      </c>
      <c r="U78" s="66">
        <v>342818</v>
      </c>
      <c r="V78" s="485">
        <f t="shared" si="75"/>
        <v>6550</v>
      </c>
      <c r="W78" s="316" t="s">
        <v>119</v>
      </c>
      <c r="X78" s="493">
        <f t="shared" si="84"/>
        <v>19600</v>
      </c>
      <c r="Y78" s="66">
        <v>89193</v>
      </c>
      <c r="Z78" s="485">
        <f t="shared" si="76"/>
        <v>13760</v>
      </c>
      <c r="AA78" s="66">
        <v>214089</v>
      </c>
      <c r="AB78" s="485">
        <f t="shared" si="77"/>
        <v>26700</v>
      </c>
      <c r="AC78" s="174">
        <f aca="true" t="shared" si="86" ref="AC78:AC89">D78+F78*$F$3+H78+J78+(L78+N78)*$K$3+P78+R78+T78+V78+X78+Z78+AB78</f>
        <v>647384.1</v>
      </c>
      <c r="AD78" s="205">
        <v>0.08349999999999999</v>
      </c>
      <c r="AE78" s="130">
        <f t="shared" si="85"/>
        <v>54056.572349999995</v>
      </c>
      <c r="AF78" s="206"/>
      <c r="AG78" s="504"/>
      <c r="AH78" s="174">
        <f t="shared" si="82"/>
        <v>524784.1</v>
      </c>
      <c r="AI78" s="488">
        <f t="shared" si="80"/>
        <v>43819.47235</v>
      </c>
      <c r="AJ78" s="489">
        <f t="shared" si="81"/>
        <v>122600</v>
      </c>
      <c r="AK78" s="488">
        <f t="shared" si="83"/>
        <v>10237.099999999999</v>
      </c>
    </row>
    <row r="79" spans="1:37" s="355" customFormat="1" ht="12.75">
      <c r="A79" s="484">
        <v>39845</v>
      </c>
      <c r="B79" s="394">
        <v>39861</v>
      </c>
      <c r="C79" s="250">
        <v>21317</v>
      </c>
      <c r="D79" s="75">
        <f t="shared" si="60"/>
        <v>35000</v>
      </c>
      <c r="E79" s="250">
        <v>80052</v>
      </c>
      <c r="F79" s="320">
        <f t="shared" si="71"/>
        <v>23070</v>
      </c>
      <c r="G79" s="250">
        <v>24903</v>
      </c>
      <c r="H79" s="320">
        <f aca="true" t="shared" si="87" ref="H79:H98">(G79-G78)*100</f>
        <v>81900</v>
      </c>
      <c r="I79" s="316">
        <v>24656</v>
      </c>
      <c r="J79" s="320">
        <v>0</v>
      </c>
      <c r="K79" s="250">
        <v>56884</v>
      </c>
      <c r="L79" s="320">
        <f t="shared" si="72"/>
        <v>194900</v>
      </c>
      <c r="M79" s="250">
        <v>49951</v>
      </c>
      <c r="N79" s="168">
        <v>0</v>
      </c>
      <c r="O79" s="67">
        <v>98981</v>
      </c>
      <c r="P79" s="320">
        <f t="shared" si="50"/>
        <v>14390</v>
      </c>
      <c r="Q79" s="58">
        <v>98352</v>
      </c>
      <c r="R79" s="75">
        <f t="shared" si="73"/>
        <v>15050</v>
      </c>
      <c r="S79" s="58">
        <v>59190</v>
      </c>
      <c r="T79" s="75">
        <f t="shared" si="74"/>
        <v>34540</v>
      </c>
      <c r="U79" s="58">
        <v>349246</v>
      </c>
      <c r="V79" s="320">
        <f t="shared" si="75"/>
        <v>6428</v>
      </c>
      <c r="W79" s="316" t="s">
        <v>119</v>
      </c>
      <c r="X79" s="168">
        <f t="shared" si="84"/>
        <v>25820</v>
      </c>
      <c r="Y79" s="58">
        <v>90767</v>
      </c>
      <c r="Z79" s="320">
        <f t="shared" si="76"/>
        <v>15740</v>
      </c>
      <c r="AA79" s="58">
        <v>217331</v>
      </c>
      <c r="AB79" s="320">
        <f t="shared" si="77"/>
        <v>32420</v>
      </c>
      <c r="AC79" s="83">
        <f t="shared" si="86"/>
        <v>444311.1</v>
      </c>
      <c r="AD79" s="207">
        <v>0.08349999999999999</v>
      </c>
      <c r="AE79" s="130">
        <f t="shared" si="85"/>
        <v>37099.97684999999</v>
      </c>
      <c r="AF79" s="206"/>
      <c r="AG79" s="504"/>
      <c r="AH79" s="174">
        <f t="shared" si="82"/>
        <v>299923.1</v>
      </c>
      <c r="AI79" s="488">
        <f t="shared" si="80"/>
        <v>25043.578849999994</v>
      </c>
      <c r="AJ79" s="489">
        <f t="shared" si="81"/>
        <v>144388</v>
      </c>
      <c r="AK79" s="488">
        <f t="shared" si="83"/>
        <v>12056.398</v>
      </c>
    </row>
    <row r="80" spans="1:37" s="355" customFormat="1" ht="13.5" thickBot="1">
      <c r="A80" s="484">
        <v>39873</v>
      </c>
      <c r="B80" s="394">
        <v>39889</v>
      </c>
      <c r="C80" s="250">
        <v>21681</v>
      </c>
      <c r="D80" s="320">
        <f t="shared" si="60"/>
        <v>36400</v>
      </c>
      <c r="E80" s="316">
        <v>82657</v>
      </c>
      <c r="F80" s="321">
        <f t="shared" si="71"/>
        <v>26050</v>
      </c>
      <c r="G80" s="316">
        <v>25532</v>
      </c>
      <c r="H80" s="320">
        <f t="shared" si="87"/>
        <v>62900</v>
      </c>
      <c r="I80" s="250">
        <v>24656</v>
      </c>
      <c r="J80" s="321">
        <v>0</v>
      </c>
      <c r="K80" s="250">
        <v>58317</v>
      </c>
      <c r="L80" s="320">
        <f t="shared" si="72"/>
        <v>143300</v>
      </c>
      <c r="M80" s="250">
        <v>49951</v>
      </c>
      <c r="N80" s="168">
        <v>0</v>
      </c>
      <c r="O80" s="67">
        <v>100145</v>
      </c>
      <c r="P80" s="320">
        <f t="shared" si="50"/>
        <v>11640</v>
      </c>
      <c r="Q80" s="58">
        <v>99575</v>
      </c>
      <c r="R80" s="75">
        <f t="shared" si="73"/>
        <v>12230</v>
      </c>
      <c r="S80" s="58">
        <v>61933</v>
      </c>
      <c r="T80" s="75">
        <f t="shared" si="74"/>
        <v>27430</v>
      </c>
      <c r="U80" s="58">
        <v>353734</v>
      </c>
      <c r="V80" s="320">
        <f t="shared" si="75"/>
        <v>4488</v>
      </c>
      <c r="W80" s="316" t="s">
        <v>119</v>
      </c>
      <c r="X80" s="168">
        <f t="shared" si="84"/>
        <v>25040</v>
      </c>
      <c r="Y80" s="58">
        <v>93052</v>
      </c>
      <c r="Z80" s="320">
        <f t="shared" si="76"/>
        <v>22850</v>
      </c>
      <c r="AA80" s="58">
        <v>219962</v>
      </c>
      <c r="AB80" s="320">
        <f t="shared" si="77"/>
        <v>26310</v>
      </c>
      <c r="AC80" s="491">
        <f t="shared" si="86"/>
        <v>366854.5</v>
      </c>
      <c r="AD80" s="128">
        <v>0.08349999999999999</v>
      </c>
      <c r="AE80" s="146">
        <f t="shared" si="85"/>
        <v>30632.350749999998</v>
      </c>
      <c r="AF80" s="208">
        <f>SUM(AE78:AE80)</f>
        <v>121788.89994999998</v>
      </c>
      <c r="AG80" s="504"/>
      <c r="AH80" s="174">
        <f t="shared" si="82"/>
        <v>236866.5</v>
      </c>
      <c r="AI80" s="488">
        <f t="shared" si="80"/>
        <v>19778.35275</v>
      </c>
      <c r="AJ80" s="489">
        <f t="shared" si="81"/>
        <v>129988</v>
      </c>
      <c r="AK80" s="488">
        <f t="shared" si="83"/>
        <v>10853.998</v>
      </c>
    </row>
    <row r="81" spans="1:37" s="355" customFormat="1" ht="12.75">
      <c r="A81" s="484">
        <v>39904</v>
      </c>
      <c r="B81" s="394">
        <v>39923</v>
      </c>
      <c r="C81" s="478">
        <v>22080</v>
      </c>
      <c r="D81" s="501">
        <f t="shared" si="60"/>
        <v>39900</v>
      </c>
      <c r="E81" s="478">
        <v>85262</v>
      </c>
      <c r="F81" s="485">
        <f t="shared" si="71"/>
        <v>26050</v>
      </c>
      <c r="G81" s="478">
        <v>26358</v>
      </c>
      <c r="H81" s="485">
        <f t="shared" si="87"/>
        <v>82600</v>
      </c>
      <c r="I81" s="284">
        <v>24656</v>
      </c>
      <c r="J81" s="485">
        <v>0</v>
      </c>
      <c r="K81" s="478">
        <v>60189</v>
      </c>
      <c r="L81" s="485">
        <f t="shared" si="72"/>
        <v>187200</v>
      </c>
      <c r="M81" s="284">
        <v>49951</v>
      </c>
      <c r="N81" s="492">
        <v>0</v>
      </c>
      <c r="O81" s="478">
        <v>101045</v>
      </c>
      <c r="P81" s="501">
        <f t="shared" si="50"/>
        <v>9000</v>
      </c>
      <c r="Q81" s="478">
        <v>100890</v>
      </c>
      <c r="R81" s="501">
        <f t="shared" si="73"/>
        <v>13150</v>
      </c>
      <c r="S81" s="478">
        <v>65081</v>
      </c>
      <c r="T81" s="485">
        <f t="shared" si="74"/>
        <v>31480</v>
      </c>
      <c r="U81" s="478">
        <v>357807</v>
      </c>
      <c r="V81" s="485">
        <f t="shared" si="75"/>
        <v>4073</v>
      </c>
      <c r="W81" s="441" t="s">
        <v>119</v>
      </c>
      <c r="X81" s="493">
        <f>AVERAGE(X68:X70)</f>
        <v>21533.333333333332</v>
      </c>
      <c r="Y81" s="478">
        <v>93575</v>
      </c>
      <c r="Z81" s="485">
        <f t="shared" si="76"/>
        <v>5230</v>
      </c>
      <c r="AA81" s="478">
        <v>222876</v>
      </c>
      <c r="AB81" s="485">
        <f t="shared" si="77"/>
        <v>29140</v>
      </c>
      <c r="AC81" s="174">
        <f t="shared" si="86"/>
        <v>413182.8333333333</v>
      </c>
      <c r="AD81" s="205">
        <v>0.08349999999999999</v>
      </c>
      <c r="AE81" s="130">
        <f t="shared" si="85"/>
        <v>34500.76658333333</v>
      </c>
      <c r="AF81" s="206"/>
      <c r="AG81" s="504"/>
      <c r="AH81" s="174">
        <f t="shared" si="82"/>
        <v>299576.5</v>
      </c>
      <c r="AI81" s="488">
        <f t="shared" si="80"/>
        <v>25014.637749999998</v>
      </c>
      <c r="AJ81" s="489">
        <f t="shared" si="81"/>
        <v>113606.33333333333</v>
      </c>
      <c r="AK81" s="488">
        <f t="shared" si="83"/>
        <v>9486.128833333332</v>
      </c>
    </row>
    <row r="82" spans="1:37" s="355" customFormat="1" ht="12.75">
      <c r="A82" s="484">
        <v>39934</v>
      </c>
      <c r="B82" s="394">
        <v>39948</v>
      </c>
      <c r="C82" s="459">
        <v>22280</v>
      </c>
      <c r="D82" s="75">
        <f t="shared" si="60"/>
        <v>20000</v>
      </c>
      <c r="E82" s="439" t="s">
        <v>133</v>
      </c>
      <c r="F82" s="168">
        <f>AVERAGE(F69:F71)</f>
        <v>15476.666666666666</v>
      </c>
      <c r="G82" s="459">
        <v>26830</v>
      </c>
      <c r="H82" s="320">
        <f t="shared" si="87"/>
        <v>47200</v>
      </c>
      <c r="I82" s="316">
        <v>24656</v>
      </c>
      <c r="J82" s="320">
        <v>0</v>
      </c>
      <c r="K82" s="459">
        <v>61415</v>
      </c>
      <c r="L82" s="320">
        <f t="shared" si="72"/>
        <v>122600</v>
      </c>
      <c r="M82" s="316">
        <v>49951</v>
      </c>
      <c r="N82" s="175">
        <v>0</v>
      </c>
      <c r="O82" s="459">
        <v>102250</v>
      </c>
      <c r="P82" s="75">
        <f t="shared" si="50"/>
        <v>12050</v>
      </c>
      <c r="Q82" s="459">
        <v>101698</v>
      </c>
      <c r="R82" s="75">
        <f t="shared" si="73"/>
        <v>8080</v>
      </c>
      <c r="S82" s="459">
        <v>66786</v>
      </c>
      <c r="T82" s="320">
        <f t="shared" si="74"/>
        <v>17050</v>
      </c>
      <c r="U82" s="459">
        <v>360636</v>
      </c>
      <c r="V82" s="320">
        <f t="shared" si="75"/>
        <v>2829</v>
      </c>
      <c r="W82" s="439" t="s">
        <v>119</v>
      </c>
      <c r="X82" s="168">
        <f>AVERAGE(X69:X71)</f>
        <v>19580</v>
      </c>
      <c r="Y82" s="459">
        <v>94237</v>
      </c>
      <c r="Z82" s="320">
        <f t="shared" si="76"/>
        <v>6620</v>
      </c>
      <c r="AA82" s="459">
        <v>224135</v>
      </c>
      <c r="AB82" s="320">
        <f t="shared" si="77"/>
        <v>12590</v>
      </c>
      <c r="AC82" s="83">
        <f t="shared" si="86"/>
        <v>261446.3</v>
      </c>
      <c r="AD82" s="207">
        <v>0.0835</v>
      </c>
      <c r="AE82" s="130">
        <f t="shared" si="85"/>
        <v>21830.766050000002</v>
      </c>
      <c r="AF82" s="206"/>
      <c r="AG82" s="504"/>
      <c r="AH82" s="174">
        <f t="shared" si="82"/>
        <v>182647.3</v>
      </c>
      <c r="AI82" s="488">
        <f t="shared" si="80"/>
        <v>15251.04955</v>
      </c>
      <c r="AJ82" s="489">
        <f t="shared" si="81"/>
        <v>78799</v>
      </c>
      <c r="AK82" s="488">
        <f t="shared" si="83"/>
        <v>6579.7165</v>
      </c>
    </row>
    <row r="83" spans="1:37" s="487" customFormat="1" ht="13.5" thickBot="1">
      <c r="A83" s="484">
        <v>39965</v>
      </c>
      <c r="B83" s="178">
        <v>39979</v>
      </c>
      <c r="C83" s="460">
        <v>22469</v>
      </c>
      <c r="D83" s="351">
        <f t="shared" si="60"/>
        <v>18900</v>
      </c>
      <c r="E83" s="440" t="s">
        <v>133</v>
      </c>
      <c r="F83" s="490">
        <f>AVERAGE(F70:F72)</f>
        <v>13910</v>
      </c>
      <c r="G83" s="460">
        <v>27360</v>
      </c>
      <c r="H83" s="321">
        <f t="shared" si="87"/>
        <v>53000</v>
      </c>
      <c r="I83" s="193">
        <v>24656</v>
      </c>
      <c r="J83" s="321">
        <v>0</v>
      </c>
      <c r="K83" s="460">
        <v>62864</v>
      </c>
      <c r="L83" s="321">
        <f t="shared" si="72"/>
        <v>144900</v>
      </c>
      <c r="M83" s="193">
        <v>49951</v>
      </c>
      <c r="N83" s="497">
        <v>0</v>
      </c>
      <c r="O83" s="460">
        <v>102966</v>
      </c>
      <c r="P83" s="351">
        <f t="shared" si="50"/>
        <v>7160</v>
      </c>
      <c r="Q83" s="460">
        <v>102557</v>
      </c>
      <c r="R83" s="351">
        <f t="shared" si="73"/>
        <v>8590</v>
      </c>
      <c r="S83" s="460">
        <v>68644</v>
      </c>
      <c r="T83" s="321">
        <f t="shared" si="74"/>
        <v>18580</v>
      </c>
      <c r="U83" s="460">
        <v>364151</v>
      </c>
      <c r="V83" s="321">
        <f t="shared" si="75"/>
        <v>3515</v>
      </c>
      <c r="W83" s="440" t="s">
        <v>119</v>
      </c>
      <c r="X83" s="490">
        <f>AVERAGE(X70:X72)</f>
        <v>19720</v>
      </c>
      <c r="Y83" s="460">
        <v>94737</v>
      </c>
      <c r="Z83" s="321">
        <f t="shared" si="76"/>
        <v>5000</v>
      </c>
      <c r="AA83" s="460">
        <v>226723</v>
      </c>
      <c r="AB83" s="321">
        <f t="shared" si="77"/>
        <v>25880</v>
      </c>
      <c r="AC83" s="491">
        <f t="shared" si="86"/>
        <v>295345.3</v>
      </c>
      <c r="AD83" s="128">
        <v>0.08349999999999999</v>
      </c>
      <c r="AE83" s="146">
        <f t="shared" si="85"/>
        <v>24661.332549999996</v>
      </c>
      <c r="AF83" s="137">
        <f>SUM(AE81:AE83)</f>
        <v>80992.86518333333</v>
      </c>
      <c r="AG83" s="505"/>
      <c r="AH83" s="174">
        <f t="shared" si="82"/>
        <v>206900.3</v>
      </c>
      <c r="AI83" s="488">
        <f t="shared" si="80"/>
        <v>17276.175049999998</v>
      </c>
      <c r="AJ83" s="489">
        <f t="shared" si="81"/>
        <v>88445</v>
      </c>
      <c r="AK83" s="488">
        <f t="shared" si="83"/>
        <v>7385.157499999999</v>
      </c>
    </row>
    <row r="84" spans="1:37" s="54" customFormat="1" ht="12.75">
      <c r="A84" s="127">
        <v>39995</v>
      </c>
      <c r="B84" s="462">
        <v>40011</v>
      </c>
      <c r="C84" s="478">
        <v>22656</v>
      </c>
      <c r="D84" s="463">
        <f t="shared" si="60"/>
        <v>18700</v>
      </c>
      <c r="E84" s="464" t="s">
        <v>117</v>
      </c>
      <c r="F84" s="465">
        <f aca="true" t="shared" si="88" ref="F84:F92">F72</f>
        <v>13060</v>
      </c>
      <c r="G84" s="478">
        <v>27979</v>
      </c>
      <c r="H84" s="463">
        <f t="shared" si="87"/>
        <v>61900</v>
      </c>
      <c r="I84" s="464">
        <v>24656</v>
      </c>
      <c r="J84" s="264">
        <v>0</v>
      </c>
      <c r="K84" s="478">
        <v>64555</v>
      </c>
      <c r="L84" s="463">
        <f t="shared" si="72"/>
        <v>169100</v>
      </c>
      <c r="M84" s="464">
        <v>49951</v>
      </c>
      <c r="N84" s="465">
        <v>0</v>
      </c>
      <c r="O84" s="478">
        <v>103817</v>
      </c>
      <c r="P84" s="463">
        <f t="shared" si="50"/>
        <v>8510</v>
      </c>
      <c r="Q84" s="510">
        <v>103825</v>
      </c>
      <c r="R84" s="466">
        <f t="shared" si="73"/>
        <v>12680</v>
      </c>
      <c r="S84" s="478">
        <v>71139</v>
      </c>
      <c r="T84" s="463">
        <f t="shared" si="74"/>
        <v>24950</v>
      </c>
      <c r="U84" s="510">
        <v>369605</v>
      </c>
      <c r="V84" s="466">
        <f t="shared" si="75"/>
        <v>5454</v>
      </c>
      <c r="W84" s="441" t="s">
        <v>119</v>
      </c>
      <c r="X84" s="467">
        <f aca="true" t="shared" si="89" ref="X84:X95">X72</f>
        <v>21490</v>
      </c>
      <c r="Y84" s="510">
        <v>95293</v>
      </c>
      <c r="Z84" s="466">
        <f t="shared" si="76"/>
        <v>5560</v>
      </c>
      <c r="AA84" s="478">
        <v>229047</v>
      </c>
      <c r="AB84" s="463">
        <f t="shared" si="77"/>
        <v>23240</v>
      </c>
      <c r="AC84" s="323">
        <f t="shared" si="86"/>
        <v>338983.8</v>
      </c>
      <c r="AD84" s="324">
        <v>0.085</v>
      </c>
      <c r="AE84" s="325">
        <f>AC84*AD84</f>
        <v>28813.623</v>
      </c>
      <c r="AF84" s="326"/>
      <c r="AG84" s="453"/>
      <c r="AH84" s="256">
        <f>D84+F84*$F$3+H84+J84+(L84+N84)*$K$3</f>
        <v>237099.8</v>
      </c>
      <c r="AI84" s="257">
        <f aca="true" t="shared" si="90" ref="AI84:AI95">AH84*AD84</f>
        <v>20153.483</v>
      </c>
      <c r="AJ84" s="258">
        <f aca="true" t="shared" si="91" ref="AJ84:AJ95">P84+R84+T84+V84+X84+Z84+AB84</f>
        <v>101884</v>
      </c>
      <c r="AK84" s="257">
        <f>AJ84*AD84</f>
        <v>8660.140000000001</v>
      </c>
    </row>
    <row r="85" spans="1:37" s="76" customFormat="1" ht="12.75">
      <c r="A85" s="127">
        <v>40026</v>
      </c>
      <c r="B85" s="462" t="s">
        <v>138</v>
      </c>
      <c r="C85" s="459">
        <v>22840</v>
      </c>
      <c r="D85" s="468">
        <f t="shared" si="60"/>
        <v>18400</v>
      </c>
      <c r="E85" s="469" t="s">
        <v>117</v>
      </c>
      <c r="F85" s="461">
        <f t="shared" si="88"/>
        <v>13950</v>
      </c>
      <c r="G85" s="459">
        <v>28595</v>
      </c>
      <c r="H85" s="468">
        <f t="shared" si="87"/>
        <v>61600</v>
      </c>
      <c r="I85" s="469">
        <v>24656</v>
      </c>
      <c r="J85" s="192">
        <v>0</v>
      </c>
      <c r="K85" s="459">
        <v>66276</v>
      </c>
      <c r="L85" s="468">
        <f t="shared" si="72"/>
        <v>172100</v>
      </c>
      <c r="M85" s="469">
        <v>49951</v>
      </c>
      <c r="N85" s="461">
        <v>0</v>
      </c>
      <c r="O85" s="459">
        <v>104975</v>
      </c>
      <c r="P85" s="468">
        <f t="shared" si="50"/>
        <v>11580</v>
      </c>
      <c r="Q85" s="511">
        <v>105134</v>
      </c>
      <c r="R85" s="470">
        <f t="shared" si="73"/>
        <v>13090</v>
      </c>
      <c r="S85" s="459">
        <v>73787</v>
      </c>
      <c r="T85" s="468">
        <f t="shared" si="74"/>
        <v>26480</v>
      </c>
      <c r="U85" s="511">
        <v>375374</v>
      </c>
      <c r="V85" s="470">
        <f t="shared" si="75"/>
        <v>5769</v>
      </c>
      <c r="W85" s="439" t="s">
        <v>119</v>
      </c>
      <c r="X85" s="456">
        <f t="shared" si="89"/>
        <v>23260</v>
      </c>
      <c r="Y85" s="511">
        <v>96251</v>
      </c>
      <c r="Z85" s="470">
        <f t="shared" si="76"/>
        <v>9580</v>
      </c>
      <c r="AA85" s="459">
        <v>232115</v>
      </c>
      <c r="AB85" s="468">
        <f t="shared" si="77"/>
        <v>30680</v>
      </c>
      <c r="AC85" s="327">
        <f t="shared" si="86"/>
        <v>359932.5</v>
      </c>
      <c r="AD85" s="328">
        <v>0.085</v>
      </c>
      <c r="AE85" s="325">
        <f>AC85*AD85</f>
        <v>30594.2625</v>
      </c>
      <c r="AF85" s="326"/>
      <c r="AG85" s="453"/>
      <c r="AH85" s="256">
        <f aca="true" t="shared" si="92" ref="AH85:AH95">D85+F85*$F$3+H85+J85+(L85+N85)*$K$3</f>
        <v>239493.5</v>
      </c>
      <c r="AI85" s="257">
        <f t="shared" si="90"/>
        <v>20356.947500000002</v>
      </c>
      <c r="AJ85" s="258">
        <f t="shared" si="91"/>
        <v>120439</v>
      </c>
      <c r="AK85" s="257">
        <f aca="true" t="shared" si="93" ref="AK85:AK95">AJ85*AD85</f>
        <v>10237.315</v>
      </c>
    </row>
    <row r="86" spans="1:37" s="76" customFormat="1" ht="13.5" thickBot="1">
      <c r="A86" s="127">
        <v>40057</v>
      </c>
      <c r="B86" s="462">
        <v>40071</v>
      </c>
      <c r="C86" s="460">
        <v>23130</v>
      </c>
      <c r="D86" s="471">
        <f t="shared" si="60"/>
        <v>29000</v>
      </c>
      <c r="E86" s="438" t="s">
        <v>117</v>
      </c>
      <c r="F86" s="472">
        <f t="shared" si="88"/>
        <v>15110</v>
      </c>
      <c r="G86" s="460">
        <v>29230</v>
      </c>
      <c r="H86" s="471">
        <f t="shared" si="87"/>
        <v>63500</v>
      </c>
      <c r="I86" s="438">
        <v>24656</v>
      </c>
      <c r="J86" s="194">
        <v>0</v>
      </c>
      <c r="K86" s="460">
        <v>68092</v>
      </c>
      <c r="L86" s="471">
        <f t="shared" si="72"/>
        <v>181600</v>
      </c>
      <c r="M86" s="438">
        <v>49951</v>
      </c>
      <c r="N86" s="472">
        <v>0</v>
      </c>
      <c r="O86" s="460">
        <v>106160</v>
      </c>
      <c r="P86" s="471">
        <f t="shared" si="50"/>
        <v>11850</v>
      </c>
      <c r="Q86" s="512">
        <v>106514</v>
      </c>
      <c r="R86" s="473">
        <f t="shared" si="73"/>
        <v>13800</v>
      </c>
      <c r="S86" s="460">
        <v>76784</v>
      </c>
      <c r="T86" s="471">
        <f t="shared" si="74"/>
        <v>29970</v>
      </c>
      <c r="U86" s="512">
        <v>381036</v>
      </c>
      <c r="V86" s="473">
        <f t="shared" si="75"/>
        <v>5662</v>
      </c>
      <c r="W86" s="440" t="s">
        <v>119</v>
      </c>
      <c r="X86" s="474">
        <f t="shared" si="89"/>
        <v>21310</v>
      </c>
      <c r="Y86" s="512">
        <v>97332</v>
      </c>
      <c r="Z86" s="473">
        <f t="shared" si="76"/>
        <v>10810</v>
      </c>
      <c r="AA86" s="460">
        <v>234847</v>
      </c>
      <c r="AB86" s="471">
        <f t="shared" si="77"/>
        <v>27320</v>
      </c>
      <c r="AC86" s="388">
        <f t="shared" si="86"/>
        <v>381648.3</v>
      </c>
      <c r="AD86" s="432">
        <v>0.085</v>
      </c>
      <c r="AE86" s="433">
        <f>AC86*AD86</f>
        <v>32440.1055</v>
      </c>
      <c r="AF86" s="435">
        <f>SUM(AE84:AE86)</f>
        <v>91847.99100000001</v>
      </c>
      <c r="AG86" s="453"/>
      <c r="AH86" s="256">
        <f t="shared" si="92"/>
        <v>260926.3</v>
      </c>
      <c r="AI86" s="257">
        <f t="shared" si="90"/>
        <v>22178.7355</v>
      </c>
      <c r="AJ86" s="258">
        <f t="shared" si="91"/>
        <v>120722</v>
      </c>
      <c r="AK86" s="257">
        <f t="shared" si="93"/>
        <v>10261.37</v>
      </c>
    </row>
    <row r="87" spans="1:37" s="54" customFormat="1" ht="12.75">
      <c r="A87" s="127">
        <v>40087</v>
      </c>
      <c r="B87" s="462">
        <v>40102</v>
      </c>
      <c r="C87" s="478">
        <v>23567</v>
      </c>
      <c r="D87" s="463">
        <f t="shared" si="60"/>
        <v>43700</v>
      </c>
      <c r="E87" s="464" t="s">
        <v>117</v>
      </c>
      <c r="F87" s="465">
        <f t="shared" si="88"/>
        <v>17640</v>
      </c>
      <c r="G87" s="478">
        <v>30154</v>
      </c>
      <c r="H87" s="463">
        <f t="shared" si="87"/>
        <v>92400</v>
      </c>
      <c r="I87" s="464">
        <v>24656</v>
      </c>
      <c r="J87" s="264">
        <v>0</v>
      </c>
      <c r="K87" s="478">
        <v>70167</v>
      </c>
      <c r="L87" s="463">
        <f t="shared" si="72"/>
        <v>207500</v>
      </c>
      <c r="M87" s="464">
        <v>49951</v>
      </c>
      <c r="N87" s="465">
        <v>0</v>
      </c>
      <c r="O87" s="478">
        <v>107375</v>
      </c>
      <c r="P87" s="463">
        <f t="shared" si="50"/>
        <v>12150</v>
      </c>
      <c r="Q87" s="510">
        <v>107970</v>
      </c>
      <c r="R87" s="466">
        <f t="shared" si="73"/>
        <v>14560</v>
      </c>
      <c r="S87" s="478">
        <v>79881</v>
      </c>
      <c r="T87" s="463">
        <f t="shared" si="74"/>
        <v>30970</v>
      </c>
      <c r="U87" s="510">
        <v>386701</v>
      </c>
      <c r="V87" s="466">
        <f t="shared" si="75"/>
        <v>5665</v>
      </c>
      <c r="W87" s="441" t="s">
        <v>119</v>
      </c>
      <c r="X87" s="467">
        <f t="shared" si="89"/>
        <v>26500</v>
      </c>
      <c r="Y87" s="510">
        <v>98623</v>
      </c>
      <c r="Z87" s="466">
        <f t="shared" si="76"/>
        <v>12910</v>
      </c>
      <c r="AA87" s="478">
        <v>237809</v>
      </c>
      <c r="AB87" s="463">
        <f t="shared" si="77"/>
        <v>29620</v>
      </c>
      <c r="AC87" s="323">
        <f t="shared" si="86"/>
        <v>461046.2</v>
      </c>
      <c r="AD87" s="324">
        <v>0.085</v>
      </c>
      <c r="AE87" s="325">
        <f>AC87*AD87</f>
        <v>39188.927</v>
      </c>
      <c r="AF87" s="326"/>
      <c r="AG87" s="453"/>
      <c r="AH87" s="256">
        <f t="shared" si="92"/>
        <v>328671.2</v>
      </c>
      <c r="AI87" s="257">
        <f t="shared" si="90"/>
        <v>27937.052000000003</v>
      </c>
      <c r="AJ87" s="258">
        <f t="shared" si="91"/>
        <v>132375</v>
      </c>
      <c r="AK87" s="257">
        <f t="shared" si="93"/>
        <v>11251.875</v>
      </c>
    </row>
    <row r="88" spans="1:37" s="76" customFormat="1" ht="12.75">
      <c r="A88" s="127">
        <v>40118</v>
      </c>
      <c r="B88" s="462">
        <v>40133</v>
      </c>
      <c r="C88" s="459">
        <v>23979</v>
      </c>
      <c r="D88" s="468">
        <f t="shared" si="60"/>
        <v>41200</v>
      </c>
      <c r="E88" s="469" t="s">
        <v>117</v>
      </c>
      <c r="F88" s="461">
        <f t="shared" si="88"/>
        <v>24240</v>
      </c>
      <c r="G88" s="459">
        <v>31001</v>
      </c>
      <c r="H88" s="468">
        <f t="shared" si="87"/>
        <v>84700</v>
      </c>
      <c r="I88" s="469">
        <v>24656</v>
      </c>
      <c r="J88" s="192">
        <v>0</v>
      </c>
      <c r="K88" s="459">
        <v>71998</v>
      </c>
      <c r="L88" s="468">
        <f t="shared" si="72"/>
        <v>183100</v>
      </c>
      <c r="M88" s="469">
        <v>49951</v>
      </c>
      <c r="N88" s="461">
        <v>0</v>
      </c>
      <c r="O88" s="459">
        <v>108479</v>
      </c>
      <c r="P88" s="468">
        <f t="shared" si="50"/>
        <v>11040</v>
      </c>
      <c r="Q88" s="511">
        <v>109201</v>
      </c>
      <c r="R88" s="470">
        <f t="shared" si="73"/>
        <v>12310</v>
      </c>
      <c r="S88" s="459">
        <v>82568</v>
      </c>
      <c r="T88" s="468">
        <f t="shared" si="74"/>
        <v>26870</v>
      </c>
      <c r="U88" s="511">
        <v>392317</v>
      </c>
      <c r="V88" s="470">
        <f t="shared" si="75"/>
        <v>5616</v>
      </c>
      <c r="W88" s="439" t="s">
        <v>119</v>
      </c>
      <c r="X88" s="456">
        <f t="shared" si="89"/>
        <v>26830</v>
      </c>
      <c r="Y88" s="511">
        <v>99745</v>
      </c>
      <c r="Z88" s="470">
        <f t="shared" si="76"/>
        <v>11220</v>
      </c>
      <c r="AA88" s="459">
        <v>240371</v>
      </c>
      <c r="AB88" s="468">
        <f t="shared" si="77"/>
        <v>25620</v>
      </c>
      <c r="AC88" s="327">
        <f t="shared" si="86"/>
        <v>418195.2</v>
      </c>
      <c r="AD88" s="328">
        <v>0.085</v>
      </c>
      <c r="AE88" s="325">
        <f>IF(AC88="","",AC88*AD88)</f>
        <v>35546.592000000004</v>
      </c>
      <c r="AF88" s="326"/>
      <c r="AG88" s="453"/>
      <c r="AH88" s="256">
        <f t="shared" si="92"/>
        <v>298689.2</v>
      </c>
      <c r="AI88" s="257">
        <f t="shared" si="90"/>
        <v>25388.582000000002</v>
      </c>
      <c r="AJ88" s="258">
        <f t="shared" si="91"/>
        <v>119506</v>
      </c>
      <c r="AK88" s="257">
        <f t="shared" si="93"/>
        <v>10158.01</v>
      </c>
    </row>
    <row r="89" spans="1:37" s="76" customFormat="1" ht="13.5" thickBot="1">
      <c r="A89" s="127">
        <v>40148</v>
      </c>
      <c r="B89" s="462">
        <v>40162</v>
      </c>
      <c r="C89" s="460">
        <v>24319</v>
      </c>
      <c r="D89" s="471">
        <f t="shared" si="60"/>
        <v>34000</v>
      </c>
      <c r="E89" s="438" t="s">
        <v>117</v>
      </c>
      <c r="F89" s="472">
        <f t="shared" si="88"/>
        <v>20720</v>
      </c>
      <c r="G89" s="460">
        <v>31746</v>
      </c>
      <c r="H89" s="471">
        <f t="shared" si="87"/>
        <v>74500</v>
      </c>
      <c r="I89" s="438">
        <v>24656</v>
      </c>
      <c r="J89" s="194">
        <v>0</v>
      </c>
      <c r="K89" s="460">
        <v>73536</v>
      </c>
      <c r="L89" s="471">
        <f t="shared" si="72"/>
        <v>153800</v>
      </c>
      <c r="M89" s="438">
        <v>49951</v>
      </c>
      <c r="N89" s="472">
        <v>0</v>
      </c>
      <c r="O89" s="460">
        <v>109540</v>
      </c>
      <c r="P89" s="471">
        <f t="shared" si="50"/>
        <v>10610</v>
      </c>
      <c r="Q89" s="512">
        <v>110469</v>
      </c>
      <c r="R89" s="473">
        <f t="shared" si="73"/>
        <v>12680</v>
      </c>
      <c r="S89" s="460">
        <v>85259</v>
      </c>
      <c r="T89" s="471">
        <f t="shared" si="74"/>
        <v>26910</v>
      </c>
      <c r="U89" s="512">
        <v>398305</v>
      </c>
      <c r="V89" s="473">
        <f t="shared" si="75"/>
        <v>5988</v>
      </c>
      <c r="W89" s="440" t="s">
        <v>119</v>
      </c>
      <c r="X89" s="474">
        <f t="shared" si="89"/>
        <v>22440</v>
      </c>
      <c r="Y89" s="512">
        <v>100863</v>
      </c>
      <c r="Z89" s="473">
        <f t="shared" si="76"/>
        <v>11180</v>
      </c>
      <c r="AA89" s="460">
        <v>242895</v>
      </c>
      <c r="AB89" s="471">
        <f t="shared" si="77"/>
        <v>25240</v>
      </c>
      <c r="AC89" s="388">
        <f t="shared" si="86"/>
        <v>368805.6</v>
      </c>
      <c r="AD89" s="432">
        <v>0.085</v>
      </c>
      <c r="AE89" s="433">
        <f aca="true" t="shared" si="94" ref="AE89:AE95">IF(AC89="","",AC89*AD89)</f>
        <v>31348.476</v>
      </c>
      <c r="AF89" s="435">
        <f>SUM(AE87:AE89)</f>
        <v>106083.995</v>
      </c>
      <c r="AG89" s="453"/>
      <c r="AH89" s="256">
        <f t="shared" si="92"/>
        <v>253757.6</v>
      </c>
      <c r="AI89" s="257">
        <f t="shared" si="90"/>
        <v>21569.396</v>
      </c>
      <c r="AJ89" s="258">
        <f t="shared" si="91"/>
        <v>115048</v>
      </c>
      <c r="AK89" s="257">
        <f t="shared" si="93"/>
        <v>9779.08</v>
      </c>
    </row>
    <row r="90" spans="1:37" s="54" customFormat="1" ht="12.75">
      <c r="A90" s="127">
        <v>40179</v>
      </c>
      <c r="B90" s="462">
        <v>40193</v>
      </c>
      <c r="C90" s="478">
        <v>24590</v>
      </c>
      <c r="D90" s="463">
        <f t="shared" si="60"/>
        <v>27100</v>
      </c>
      <c r="E90" s="464" t="s">
        <v>117</v>
      </c>
      <c r="F90" s="465">
        <f t="shared" si="88"/>
        <v>19770</v>
      </c>
      <c r="G90" s="478">
        <v>32355</v>
      </c>
      <c r="H90" s="463">
        <f t="shared" si="87"/>
        <v>60900</v>
      </c>
      <c r="I90" s="464">
        <v>24656</v>
      </c>
      <c r="J90" s="264">
        <v>0</v>
      </c>
      <c r="K90" s="478">
        <v>74919</v>
      </c>
      <c r="L90" s="463">
        <f t="shared" si="72"/>
        <v>138300</v>
      </c>
      <c r="M90" s="464">
        <v>49951</v>
      </c>
      <c r="N90" s="465">
        <v>0</v>
      </c>
      <c r="O90" s="478">
        <v>110670</v>
      </c>
      <c r="P90" s="463">
        <f t="shared" si="50"/>
        <v>11300</v>
      </c>
      <c r="Q90" s="510">
        <v>111796</v>
      </c>
      <c r="R90" s="466">
        <f t="shared" si="73"/>
        <v>13270</v>
      </c>
      <c r="S90" s="478">
        <v>88001</v>
      </c>
      <c r="T90" s="463">
        <f t="shared" si="74"/>
        <v>27420</v>
      </c>
      <c r="U90" s="510">
        <v>404852</v>
      </c>
      <c r="V90" s="466">
        <f t="shared" si="75"/>
        <v>6547</v>
      </c>
      <c r="W90" s="441" t="s">
        <v>119</v>
      </c>
      <c r="X90" s="467">
        <f t="shared" si="89"/>
        <v>19600</v>
      </c>
      <c r="Y90" s="510">
        <v>102159</v>
      </c>
      <c r="Z90" s="466">
        <f t="shared" si="76"/>
        <v>12960</v>
      </c>
      <c r="AA90" s="478">
        <v>245494</v>
      </c>
      <c r="AB90" s="463">
        <f t="shared" si="77"/>
        <v>25990</v>
      </c>
      <c r="AC90" s="323">
        <f aca="true" t="shared" si="95" ref="AC90:AC95">D90+F90*$F$3+H90+J90+(L90+N90)*$K$3+P90+R90+T90+V90+X90+Z90+AB90</f>
        <v>336081.1</v>
      </c>
      <c r="AD90" s="324">
        <v>0.085</v>
      </c>
      <c r="AE90" s="325">
        <f t="shared" si="94"/>
        <v>28566.8935</v>
      </c>
      <c r="AF90" s="326"/>
      <c r="AG90" s="453"/>
      <c r="AH90" s="256">
        <f t="shared" si="92"/>
        <v>218994.1</v>
      </c>
      <c r="AI90" s="257">
        <f t="shared" si="90"/>
        <v>18614.4985</v>
      </c>
      <c r="AJ90" s="258">
        <f t="shared" si="91"/>
        <v>117087</v>
      </c>
      <c r="AK90" s="257">
        <f t="shared" si="93"/>
        <v>9952.395</v>
      </c>
    </row>
    <row r="91" spans="1:37" s="76" customFormat="1" ht="12.75">
      <c r="A91" s="127">
        <v>40210</v>
      </c>
      <c r="B91" s="462">
        <v>40224</v>
      </c>
      <c r="C91" s="459">
        <v>25001</v>
      </c>
      <c r="D91" s="468">
        <f t="shared" si="60"/>
        <v>41100</v>
      </c>
      <c r="E91" s="469" t="s">
        <v>117</v>
      </c>
      <c r="F91" s="461">
        <f t="shared" si="88"/>
        <v>23070</v>
      </c>
      <c r="G91" s="459">
        <v>33162</v>
      </c>
      <c r="H91" s="468">
        <f t="shared" si="87"/>
        <v>80700</v>
      </c>
      <c r="I91" s="469">
        <v>24656</v>
      </c>
      <c r="J91" s="192">
        <v>0</v>
      </c>
      <c r="K91" s="459">
        <v>76661</v>
      </c>
      <c r="L91" s="468">
        <f t="shared" si="72"/>
        <v>174200</v>
      </c>
      <c r="M91" s="469">
        <v>49951</v>
      </c>
      <c r="N91" s="461">
        <v>0</v>
      </c>
      <c r="O91" s="459">
        <v>111932</v>
      </c>
      <c r="P91" s="468">
        <f t="shared" si="50"/>
        <v>12620</v>
      </c>
      <c r="Q91" s="511">
        <v>113228</v>
      </c>
      <c r="R91" s="470">
        <f t="shared" si="73"/>
        <v>14320</v>
      </c>
      <c r="S91" s="459">
        <v>91202</v>
      </c>
      <c r="T91" s="468">
        <f t="shared" si="74"/>
        <v>32010</v>
      </c>
      <c r="U91" s="511">
        <v>411299</v>
      </c>
      <c r="V91" s="470">
        <f t="shared" si="75"/>
        <v>6447</v>
      </c>
      <c r="W91" s="439" t="s">
        <v>119</v>
      </c>
      <c r="X91" s="456">
        <f t="shared" si="89"/>
        <v>25820</v>
      </c>
      <c r="Y91" s="511">
        <v>103603</v>
      </c>
      <c r="Z91" s="470">
        <f t="shared" si="76"/>
        <v>14440</v>
      </c>
      <c r="AA91" s="459">
        <v>248333</v>
      </c>
      <c r="AB91" s="468">
        <f t="shared" si="77"/>
        <v>28390</v>
      </c>
      <c r="AC91" s="327">
        <f t="shared" si="95"/>
        <v>420240.1</v>
      </c>
      <c r="AD91" s="328">
        <v>0.085</v>
      </c>
      <c r="AE91" s="325">
        <f t="shared" si="94"/>
        <v>35720.4085</v>
      </c>
      <c r="AF91" s="326"/>
      <c r="AG91" s="453"/>
      <c r="AH91" s="256">
        <f t="shared" si="92"/>
        <v>286193.1</v>
      </c>
      <c r="AI91" s="257">
        <f t="shared" si="90"/>
        <v>24326.4135</v>
      </c>
      <c r="AJ91" s="258">
        <f t="shared" si="91"/>
        <v>134047</v>
      </c>
      <c r="AK91" s="257">
        <f t="shared" si="93"/>
        <v>11393.995</v>
      </c>
    </row>
    <row r="92" spans="1:37" s="76" customFormat="1" ht="13.5" thickBot="1">
      <c r="A92" s="127">
        <v>40238</v>
      </c>
      <c r="B92" s="462">
        <v>40252</v>
      </c>
      <c r="C92" s="460">
        <v>25324</v>
      </c>
      <c r="D92" s="471">
        <f t="shared" si="60"/>
        <v>32300</v>
      </c>
      <c r="E92" s="438" t="s">
        <v>117</v>
      </c>
      <c r="F92" s="472">
        <f t="shared" si="88"/>
        <v>26050</v>
      </c>
      <c r="G92" s="460">
        <v>33826</v>
      </c>
      <c r="H92" s="471">
        <f t="shared" si="87"/>
        <v>66400</v>
      </c>
      <c r="I92" s="438">
        <v>24656</v>
      </c>
      <c r="J92" s="194">
        <v>0</v>
      </c>
      <c r="K92" s="460">
        <v>78097</v>
      </c>
      <c r="L92" s="471">
        <f t="shared" si="72"/>
        <v>143600</v>
      </c>
      <c r="M92" s="438">
        <v>49951</v>
      </c>
      <c r="N92" s="472">
        <v>0</v>
      </c>
      <c r="O92" s="460">
        <v>112863</v>
      </c>
      <c r="P92" s="471">
        <f t="shared" si="50"/>
        <v>9310</v>
      </c>
      <c r="Q92" s="512">
        <v>114361</v>
      </c>
      <c r="R92" s="473">
        <f t="shared" si="73"/>
        <v>11330</v>
      </c>
      <c r="S92" s="460">
        <v>93734</v>
      </c>
      <c r="T92" s="471">
        <f t="shared" si="74"/>
        <v>25320</v>
      </c>
      <c r="U92" s="512">
        <v>416067</v>
      </c>
      <c r="V92" s="473">
        <f t="shared" si="75"/>
        <v>4768</v>
      </c>
      <c r="W92" s="440" t="s">
        <v>119</v>
      </c>
      <c r="X92" s="474">
        <f t="shared" si="89"/>
        <v>25040</v>
      </c>
      <c r="Y92" s="512">
        <v>104737</v>
      </c>
      <c r="Z92" s="473">
        <f t="shared" si="76"/>
        <v>11340</v>
      </c>
      <c r="AA92" s="460">
        <v>250597</v>
      </c>
      <c r="AB92" s="471">
        <f t="shared" si="77"/>
        <v>22640</v>
      </c>
      <c r="AC92" s="388">
        <f t="shared" si="95"/>
        <v>346284.5</v>
      </c>
      <c r="AD92" s="432">
        <v>0.085</v>
      </c>
      <c r="AE92" s="433">
        <f t="shared" si="94"/>
        <v>29434.182500000003</v>
      </c>
      <c r="AF92" s="435">
        <f>SUM(AE90:AE92)</f>
        <v>93721.48449999999</v>
      </c>
      <c r="AG92" s="453"/>
      <c r="AH92" s="256">
        <f t="shared" si="92"/>
        <v>236536.5</v>
      </c>
      <c r="AI92" s="257">
        <f t="shared" si="90"/>
        <v>20105.6025</v>
      </c>
      <c r="AJ92" s="258">
        <f t="shared" si="91"/>
        <v>109748</v>
      </c>
      <c r="AK92" s="257">
        <f t="shared" si="93"/>
        <v>9328.58</v>
      </c>
    </row>
    <row r="93" spans="1:37" s="54" customFormat="1" ht="12.75">
      <c r="A93" s="127">
        <v>40269</v>
      </c>
      <c r="B93" s="462">
        <v>40284</v>
      </c>
      <c r="C93" s="478">
        <v>25731</v>
      </c>
      <c r="D93" s="463">
        <f t="shared" si="60"/>
        <v>40700</v>
      </c>
      <c r="E93" s="464" t="s">
        <v>117</v>
      </c>
      <c r="F93" s="465">
        <f aca="true" t="shared" si="96" ref="F93:F101">F81*1.2</f>
        <v>31260</v>
      </c>
      <c r="G93" s="478">
        <v>34689</v>
      </c>
      <c r="H93" s="463">
        <f t="shared" si="87"/>
        <v>86300</v>
      </c>
      <c r="I93" s="464">
        <v>24656</v>
      </c>
      <c r="J93" s="264">
        <v>0</v>
      </c>
      <c r="K93" s="478">
        <v>79866</v>
      </c>
      <c r="L93" s="463">
        <f t="shared" si="72"/>
        <v>176900</v>
      </c>
      <c r="M93" s="464">
        <v>49951</v>
      </c>
      <c r="N93" s="465">
        <v>0</v>
      </c>
      <c r="O93" s="478">
        <v>113895</v>
      </c>
      <c r="P93" s="463">
        <f t="shared" si="50"/>
        <v>10320</v>
      </c>
      <c r="Q93" s="510">
        <v>115588</v>
      </c>
      <c r="R93" s="466">
        <f t="shared" si="73"/>
        <v>12270</v>
      </c>
      <c r="S93" s="478">
        <v>96659</v>
      </c>
      <c r="T93" s="463">
        <f t="shared" si="74"/>
        <v>29250</v>
      </c>
      <c r="U93" s="510">
        <v>420978</v>
      </c>
      <c r="V93" s="466">
        <f t="shared" si="75"/>
        <v>4911</v>
      </c>
      <c r="W93" s="441" t="s">
        <v>119</v>
      </c>
      <c r="X93" s="467">
        <f t="shared" si="89"/>
        <v>21533.333333333332</v>
      </c>
      <c r="Y93" s="510">
        <v>105917</v>
      </c>
      <c r="Z93" s="466">
        <f t="shared" si="76"/>
        <v>11800</v>
      </c>
      <c r="AA93" s="478">
        <v>253165</v>
      </c>
      <c r="AB93" s="463">
        <f t="shared" si="77"/>
        <v>25680</v>
      </c>
      <c r="AC93" s="323">
        <f t="shared" si="95"/>
        <v>412290.1333333333</v>
      </c>
      <c r="AD93" s="324">
        <v>0.085</v>
      </c>
      <c r="AE93" s="325">
        <f t="shared" si="94"/>
        <v>35044.66133333333</v>
      </c>
      <c r="AF93" s="326"/>
      <c r="AG93" s="453"/>
      <c r="AH93" s="256">
        <f t="shared" si="92"/>
        <v>296525.8</v>
      </c>
      <c r="AI93" s="257">
        <f t="shared" si="90"/>
        <v>25204.693</v>
      </c>
      <c r="AJ93" s="258">
        <f t="shared" si="91"/>
        <v>115764.33333333333</v>
      </c>
      <c r="AK93" s="257">
        <f t="shared" si="93"/>
        <v>9839.968333333334</v>
      </c>
    </row>
    <row r="94" spans="1:37" s="76" customFormat="1" ht="12.75">
      <c r="A94" s="127">
        <v>40299</v>
      </c>
      <c r="B94" s="462">
        <v>40312</v>
      </c>
      <c r="C94" s="459">
        <v>25984</v>
      </c>
      <c r="D94" s="468">
        <f t="shared" si="60"/>
        <v>25300</v>
      </c>
      <c r="E94" s="469" t="s">
        <v>117</v>
      </c>
      <c r="F94" s="461">
        <f t="shared" si="96"/>
        <v>18572</v>
      </c>
      <c r="G94" s="459">
        <v>35273</v>
      </c>
      <c r="H94" s="468">
        <f t="shared" si="87"/>
        <v>58400</v>
      </c>
      <c r="I94" s="469">
        <v>24656</v>
      </c>
      <c r="J94" s="192">
        <v>0</v>
      </c>
      <c r="K94" s="459">
        <v>81035</v>
      </c>
      <c r="L94" s="468">
        <f t="shared" si="72"/>
        <v>116900</v>
      </c>
      <c r="M94" s="469">
        <v>49951</v>
      </c>
      <c r="N94" s="461">
        <v>0</v>
      </c>
      <c r="O94" s="459">
        <v>114667</v>
      </c>
      <c r="P94" s="468">
        <f t="shared" si="50"/>
        <v>7720</v>
      </c>
      <c r="Q94" s="511">
        <v>116568</v>
      </c>
      <c r="R94" s="470">
        <f t="shared" si="73"/>
        <v>9800</v>
      </c>
      <c r="S94" s="459">
        <v>98695</v>
      </c>
      <c r="T94" s="468">
        <f t="shared" si="74"/>
        <v>20360</v>
      </c>
      <c r="U94" s="511">
        <v>425018</v>
      </c>
      <c r="V94" s="470">
        <f t="shared" si="75"/>
        <v>4040</v>
      </c>
      <c r="W94" s="439" t="s">
        <v>119</v>
      </c>
      <c r="X94" s="456">
        <f t="shared" si="89"/>
        <v>19580</v>
      </c>
      <c r="Y94" s="511">
        <v>106698</v>
      </c>
      <c r="Z94" s="470">
        <f t="shared" si="76"/>
        <v>7810</v>
      </c>
      <c r="AA94" s="459">
        <v>254841</v>
      </c>
      <c r="AB94" s="468">
        <f t="shared" si="77"/>
        <v>16760</v>
      </c>
      <c r="AC94" s="327">
        <f t="shared" si="95"/>
        <v>281108.76</v>
      </c>
      <c r="AD94" s="328">
        <v>0.085</v>
      </c>
      <c r="AE94" s="325">
        <f t="shared" si="94"/>
        <v>23894.2446</v>
      </c>
      <c r="AF94" s="326"/>
      <c r="AG94" s="453"/>
      <c r="AH94" s="256">
        <f t="shared" si="92"/>
        <v>195038.76</v>
      </c>
      <c r="AI94" s="257">
        <f t="shared" si="90"/>
        <v>16578.2946</v>
      </c>
      <c r="AJ94" s="258">
        <f t="shared" si="91"/>
        <v>86070</v>
      </c>
      <c r="AK94" s="257">
        <f t="shared" si="93"/>
        <v>7315.950000000001</v>
      </c>
    </row>
    <row r="95" spans="1:37" s="76" customFormat="1" ht="13.5" thickBot="1">
      <c r="A95" s="127">
        <v>40330</v>
      </c>
      <c r="B95" s="462">
        <v>40343</v>
      </c>
      <c r="C95" s="460">
        <v>26163</v>
      </c>
      <c r="D95" s="471">
        <f t="shared" si="60"/>
        <v>17900</v>
      </c>
      <c r="E95" s="438" t="s">
        <v>117</v>
      </c>
      <c r="F95" s="472">
        <f t="shared" si="96"/>
        <v>16692</v>
      </c>
      <c r="G95" s="460">
        <v>35942</v>
      </c>
      <c r="H95" s="471">
        <f t="shared" si="87"/>
        <v>66900</v>
      </c>
      <c r="I95" s="438">
        <v>24656</v>
      </c>
      <c r="J95" s="194">
        <v>0</v>
      </c>
      <c r="K95" s="460">
        <v>82489</v>
      </c>
      <c r="L95" s="471">
        <f t="shared" si="72"/>
        <v>145400</v>
      </c>
      <c r="M95" s="438">
        <v>49951</v>
      </c>
      <c r="N95" s="472">
        <v>0</v>
      </c>
      <c r="O95" s="460">
        <v>115514</v>
      </c>
      <c r="P95" s="471">
        <f t="shared" si="50"/>
        <v>8470</v>
      </c>
      <c r="Q95" s="512">
        <v>117791</v>
      </c>
      <c r="R95" s="473">
        <f t="shared" si="73"/>
        <v>12230</v>
      </c>
      <c r="S95" s="460">
        <v>101162</v>
      </c>
      <c r="T95" s="471">
        <f t="shared" si="74"/>
        <v>24670</v>
      </c>
      <c r="U95" s="512">
        <v>430831</v>
      </c>
      <c r="V95" s="473">
        <f t="shared" si="75"/>
        <v>5813</v>
      </c>
      <c r="W95" s="440" t="s">
        <v>119</v>
      </c>
      <c r="X95" s="474">
        <f t="shared" si="89"/>
        <v>19720</v>
      </c>
      <c r="Y95" s="512">
        <v>107484</v>
      </c>
      <c r="Z95" s="473">
        <f t="shared" si="76"/>
        <v>7860</v>
      </c>
      <c r="AA95" s="460">
        <v>256412</v>
      </c>
      <c r="AB95" s="471">
        <f t="shared" si="77"/>
        <v>15710</v>
      </c>
      <c r="AC95" s="388">
        <f t="shared" si="95"/>
        <v>315641.36</v>
      </c>
      <c r="AD95" s="432">
        <v>0.085</v>
      </c>
      <c r="AE95" s="433">
        <f t="shared" si="94"/>
        <v>26829.515600000002</v>
      </c>
      <c r="AF95" s="435">
        <f>SUM(AE93:AE95)</f>
        <v>85768.42153333333</v>
      </c>
      <c r="AG95" s="453"/>
      <c r="AH95" s="256">
        <f t="shared" si="92"/>
        <v>221168.36</v>
      </c>
      <c r="AI95" s="257">
        <f t="shared" si="90"/>
        <v>18799.3106</v>
      </c>
      <c r="AJ95" s="258">
        <f t="shared" si="91"/>
        <v>94473</v>
      </c>
      <c r="AK95" s="257">
        <f t="shared" si="93"/>
        <v>8030.205000000001</v>
      </c>
    </row>
    <row r="96" spans="1:37" s="54" customFormat="1" ht="12.75">
      <c r="A96" s="127">
        <v>40360</v>
      </c>
      <c r="B96" s="462">
        <v>40375</v>
      </c>
      <c r="C96" s="478">
        <v>26361</v>
      </c>
      <c r="D96" s="463">
        <f t="shared" si="60"/>
        <v>19800</v>
      </c>
      <c r="E96" s="464" t="s">
        <v>117</v>
      </c>
      <c r="F96" s="465">
        <f t="shared" si="96"/>
        <v>15672</v>
      </c>
      <c r="G96" s="478">
        <v>36689</v>
      </c>
      <c r="H96" s="463">
        <f t="shared" si="87"/>
        <v>74700</v>
      </c>
      <c r="I96" s="464">
        <v>24656</v>
      </c>
      <c r="J96" s="264">
        <v>0</v>
      </c>
      <c r="K96" s="478">
        <v>84361</v>
      </c>
      <c r="L96" s="463">
        <f t="shared" si="72"/>
        <v>187200</v>
      </c>
      <c r="M96" s="464">
        <v>49951</v>
      </c>
      <c r="N96" s="465">
        <v>0</v>
      </c>
      <c r="O96" s="478">
        <v>6469</v>
      </c>
      <c r="P96" s="467">
        <v>10000</v>
      </c>
      <c r="Q96" s="510"/>
      <c r="R96" s="467">
        <v>10000</v>
      </c>
      <c r="S96" s="478">
        <v>2273</v>
      </c>
      <c r="T96" s="467">
        <v>20000</v>
      </c>
      <c r="U96" s="510">
        <v>5565</v>
      </c>
      <c r="V96" s="467">
        <f>U96</f>
        <v>5565</v>
      </c>
      <c r="W96" s="441">
        <v>15996</v>
      </c>
      <c r="X96" s="467">
        <v>20000</v>
      </c>
      <c r="Y96" s="510">
        <v>6707</v>
      </c>
      <c r="Z96" s="467">
        <v>10000</v>
      </c>
      <c r="AA96" s="478">
        <v>15048</v>
      </c>
      <c r="AB96" s="467">
        <v>20000</v>
      </c>
      <c r="AC96" s="323">
        <f aca="true" t="shared" si="97" ref="AC96:AC101">D96+F96*$F$3+H96+J96+(L96+N96)*$K$3+P96+R96+T96+V96+X96+Z96+AB96</f>
        <v>363716.76</v>
      </c>
      <c r="AD96" s="324">
        <f>Rates!$E$10</f>
        <v>0.088</v>
      </c>
      <c r="AE96" s="325">
        <f aca="true" t="shared" si="98" ref="AE96:AE101">IF(AC96="","",AC96*AD96)</f>
        <v>32007.07488</v>
      </c>
      <c r="AF96" s="326"/>
      <c r="AG96" s="453"/>
      <c r="AH96" s="256">
        <f aca="true" t="shared" si="99" ref="AH96:AH107">D96+F96*$F$3+H96+J96+(L96+N96)*$K$3</f>
        <v>268151.76</v>
      </c>
      <c r="AI96" s="257">
        <f aca="true" t="shared" si="100" ref="AI96:AI107">AH96*AD96</f>
        <v>23597.35488</v>
      </c>
      <c r="AJ96" s="258">
        <f aca="true" t="shared" si="101" ref="AJ96:AJ107">P96+R96+T96+V96+X96+Z96+AB96</f>
        <v>95565</v>
      </c>
      <c r="AK96" s="257">
        <f aca="true" t="shared" si="102" ref="AK96:AK107">AJ96*AD96</f>
        <v>8409.72</v>
      </c>
    </row>
    <row r="97" spans="1:37" s="76" customFormat="1" ht="12.75">
      <c r="A97" s="127">
        <v>40391</v>
      </c>
      <c r="B97" s="462">
        <v>40406</v>
      </c>
      <c r="C97" s="459">
        <v>26553</v>
      </c>
      <c r="D97" s="468">
        <f t="shared" si="60"/>
        <v>19200</v>
      </c>
      <c r="E97" s="469" t="s">
        <v>117</v>
      </c>
      <c r="F97" s="461">
        <f t="shared" si="96"/>
        <v>16740</v>
      </c>
      <c r="G97" s="459">
        <v>37418</v>
      </c>
      <c r="H97" s="468">
        <f t="shared" si="87"/>
        <v>72900</v>
      </c>
      <c r="I97" s="469">
        <v>24656</v>
      </c>
      <c r="J97" s="192">
        <v>0</v>
      </c>
      <c r="K97" s="459">
        <v>86074</v>
      </c>
      <c r="L97" s="468">
        <f t="shared" si="72"/>
        <v>171300</v>
      </c>
      <c r="M97" s="469">
        <v>49951</v>
      </c>
      <c r="N97" s="461">
        <v>0</v>
      </c>
      <c r="O97" s="459">
        <v>17965</v>
      </c>
      <c r="P97" s="468">
        <f>O97-O96</f>
        <v>11496</v>
      </c>
      <c r="Q97" s="511">
        <v>26954</v>
      </c>
      <c r="R97" s="468">
        <f>Q97-Q96</f>
        <v>26954</v>
      </c>
      <c r="S97" s="459">
        <v>57379</v>
      </c>
      <c r="T97" s="468">
        <f>S97-S96</f>
        <v>55106</v>
      </c>
      <c r="U97" s="511">
        <v>14702</v>
      </c>
      <c r="V97" s="468">
        <f>U97-U96</f>
        <v>9137</v>
      </c>
      <c r="W97" s="439">
        <v>38951</v>
      </c>
      <c r="X97" s="468">
        <f>W97-W96</f>
        <v>22955</v>
      </c>
      <c r="Y97" s="511">
        <v>17351</v>
      </c>
      <c r="Z97" s="468">
        <f>Y97-Y96</f>
        <v>10644</v>
      </c>
      <c r="AA97" s="459">
        <v>36565</v>
      </c>
      <c r="AB97" s="468">
        <f>AA97-AA96</f>
        <v>21517</v>
      </c>
      <c r="AC97" s="327">
        <f t="shared" si="97"/>
        <v>409603.2</v>
      </c>
      <c r="AD97" s="328">
        <f>Rates!$E$10</f>
        <v>0.088</v>
      </c>
      <c r="AE97" s="325">
        <f t="shared" si="98"/>
        <v>36045.0816</v>
      </c>
      <c r="AF97" s="326"/>
      <c r="AG97" s="453"/>
      <c r="AH97" s="256">
        <f t="shared" si="99"/>
        <v>251794.2</v>
      </c>
      <c r="AI97" s="257">
        <f t="shared" si="100"/>
        <v>22157.8896</v>
      </c>
      <c r="AJ97" s="258">
        <f t="shared" si="101"/>
        <v>157809</v>
      </c>
      <c r="AK97" s="257">
        <f t="shared" si="102"/>
        <v>13887.192</v>
      </c>
    </row>
    <row r="98" spans="1:37" s="76" customFormat="1" ht="13.5" thickBot="1">
      <c r="A98" s="127">
        <v>40422</v>
      </c>
      <c r="B98" s="462">
        <v>40438</v>
      </c>
      <c r="C98" s="460">
        <v>26912</v>
      </c>
      <c r="D98" s="471">
        <f t="shared" si="60"/>
        <v>35900</v>
      </c>
      <c r="E98" s="438" t="s">
        <v>117</v>
      </c>
      <c r="F98" s="461">
        <f t="shared" si="96"/>
        <v>18132</v>
      </c>
      <c r="G98" s="460">
        <v>37633</v>
      </c>
      <c r="H98" s="471">
        <f t="shared" si="87"/>
        <v>21500</v>
      </c>
      <c r="I98" s="438">
        <v>25279</v>
      </c>
      <c r="J98" s="194">
        <f>(I98-I97)*100</f>
        <v>62300</v>
      </c>
      <c r="K98" s="460">
        <v>86534</v>
      </c>
      <c r="L98" s="471">
        <f t="shared" si="72"/>
        <v>46000</v>
      </c>
      <c r="M98" s="438">
        <v>51362</v>
      </c>
      <c r="N98" s="473">
        <f>(M98-M97)*100</f>
        <v>141100</v>
      </c>
      <c r="O98" s="460">
        <v>31575</v>
      </c>
      <c r="P98" s="471">
        <f>O98-O97</f>
        <v>13610</v>
      </c>
      <c r="Q98" s="512">
        <v>42911</v>
      </c>
      <c r="R98" s="471">
        <f>Q98-Q97</f>
        <v>15957</v>
      </c>
      <c r="S98" s="460">
        <v>92434</v>
      </c>
      <c r="T98" s="471">
        <f>S98-S97</f>
        <v>35055</v>
      </c>
      <c r="U98" s="512">
        <v>23742</v>
      </c>
      <c r="V98" s="471">
        <f>U98-U97</f>
        <v>9040</v>
      </c>
      <c r="W98" s="440">
        <v>66032</v>
      </c>
      <c r="X98" s="471">
        <f>W98-W97</f>
        <v>27081</v>
      </c>
      <c r="Y98" s="512">
        <v>31991</v>
      </c>
      <c r="Z98" s="471">
        <f>Y98-Y97</f>
        <v>14640</v>
      </c>
      <c r="AA98" s="460">
        <v>68730</v>
      </c>
      <c r="AB98" s="471">
        <f>AA98-AA97</f>
        <v>32165</v>
      </c>
      <c r="AC98" s="327">
        <f t="shared" si="97"/>
        <v>441621.56</v>
      </c>
      <c r="AD98" s="328">
        <f>Rates!$E$10</f>
        <v>0.088</v>
      </c>
      <c r="AE98" s="325">
        <f t="shared" si="98"/>
        <v>38862.69728</v>
      </c>
      <c r="AF98" s="521">
        <f>SUM(AE96:AE98)</f>
        <v>106914.85376</v>
      </c>
      <c r="AG98" s="453"/>
      <c r="AH98" s="256">
        <f t="shared" si="99"/>
        <v>294073.56</v>
      </c>
      <c r="AI98" s="257">
        <f t="shared" si="100"/>
        <v>25878.47328</v>
      </c>
      <c r="AJ98" s="258">
        <f t="shared" si="101"/>
        <v>147548</v>
      </c>
      <c r="AK98" s="257">
        <f t="shared" si="102"/>
        <v>12984.223999999998</v>
      </c>
    </row>
    <row r="99" spans="1:37" s="54" customFormat="1" ht="12.75">
      <c r="A99" s="127">
        <v>40452</v>
      </c>
      <c r="B99" s="462">
        <v>40466</v>
      </c>
      <c r="C99" s="478">
        <v>11131</v>
      </c>
      <c r="D99" s="463">
        <v>11131</v>
      </c>
      <c r="E99" s="464" t="s">
        <v>117</v>
      </c>
      <c r="F99" s="461">
        <f t="shared" si="96"/>
        <v>21168</v>
      </c>
      <c r="G99" s="510">
        <v>24696</v>
      </c>
      <c r="H99" s="463">
        <v>24696</v>
      </c>
      <c r="I99" s="464" t="s">
        <v>117</v>
      </c>
      <c r="J99" s="264">
        <v>0</v>
      </c>
      <c r="K99" s="478">
        <v>86534</v>
      </c>
      <c r="L99" s="463">
        <f t="shared" si="72"/>
        <v>0</v>
      </c>
      <c r="M99" s="464">
        <v>51075</v>
      </c>
      <c r="N99" s="465">
        <v>150000</v>
      </c>
      <c r="O99" s="478">
        <v>44868</v>
      </c>
      <c r="P99" s="463">
        <f>O99-O98</f>
        <v>13293</v>
      </c>
      <c r="Q99" s="510">
        <v>55972</v>
      </c>
      <c r="R99" s="466">
        <f>Q99-Q98</f>
        <v>13061</v>
      </c>
      <c r="S99" s="478">
        <v>121599</v>
      </c>
      <c r="T99" s="463">
        <f>S99-S98</f>
        <v>29165</v>
      </c>
      <c r="U99" s="510">
        <v>29171</v>
      </c>
      <c r="V99" s="466">
        <f>U99-U98</f>
        <v>5429</v>
      </c>
      <c r="W99" s="441">
        <v>89021</v>
      </c>
      <c r="X99" s="463">
        <f>W99-W98</f>
        <v>22989</v>
      </c>
      <c r="Y99" s="510">
        <v>45236</v>
      </c>
      <c r="Z99" s="466">
        <f>Y99-Y98</f>
        <v>13245</v>
      </c>
      <c r="AA99" s="478">
        <v>96563</v>
      </c>
      <c r="AB99" s="466">
        <f>AA99-AA98</f>
        <v>27833</v>
      </c>
      <c r="AC99" s="522">
        <f t="shared" si="97"/>
        <v>302827.44</v>
      </c>
      <c r="AD99" s="324">
        <f>Rates!$E$10</f>
        <v>0.088</v>
      </c>
      <c r="AE99" s="525">
        <f t="shared" si="98"/>
        <v>26648.81472</v>
      </c>
      <c r="AF99" s="523"/>
      <c r="AG99" s="453"/>
      <c r="AH99" s="256">
        <f t="shared" si="99"/>
        <v>177812.44</v>
      </c>
      <c r="AI99" s="257">
        <f t="shared" si="100"/>
        <v>15647.494719999999</v>
      </c>
      <c r="AJ99" s="258">
        <f t="shared" si="101"/>
        <v>125015</v>
      </c>
      <c r="AK99" s="257">
        <f t="shared" si="102"/>
        <v>11001.32</v>
      </c>
    </row>
    <row r="100" spans="1:37" s="76" customFormat="1" ht="12.75">
      <c r="A100" s="127">
        <v>40483</v>
      </c>
      <c r="B100" s="462">
        <v>40497</v>
      </c>
      <c r="C100" s="459">
        <v>54815</v>
      </c>
      <c r="D100" s="468">
        <f>(C100-C99)</f>
        <v>43684</v>
      </c>
      <c r="E100" s="469" t="s">
        <v>117</v>
      </c>
      <c r="F100" s="461">
        <f t="shared" si="96"/>
        <v>29088</v>
      </c>
      <c r="G100" s="511">
        <v>115096</v>
      </c>
      <c r="H100" s="468">
        <f>(G100-G99)</f>
        <v>90400</v>
      </c>
      <c r="I100" s="469" t="s">
        <v>117</v>
      </c>
      <c r="J100" s="192">
        <v>0</v>
      </c>
      <c r="K100" s="459" t="s">
        <v>117</v>
      </c>
      <c r="L100" s="468">
        <v>0</v>
      </c>
      <c r="M100" s="469">
        <v>243851</v>
      </c>
      <c r="N100" s="470">
        <f>(M100-M99)</f>
        <v>192776</v>
      </c>
      <c r="O100" s="459">
        <v>57420</v>
      </c>
      <c r="P100" s="468">
        <f>O100-O99</f>
        <v>12552</v>
      </c>
      <c r="Q100" s="511">
        <v>67558</v>
      </c>
      <c r="R100" s="470">
        <f>Q100-Q99</f>
        <v>11586</v>
      </c>
      <c r="S100" s="459">
        <v>149593</v>
      </c>
      <c r="T100" s="468">
        <f>S100-S99</f>
        <v>27994</v>
      </c>
      <c r="U100" s="511">
        <v>35124</v>
      </c>
      <c r="V100" s="470">
        <f>U100-U99</f>
        <v>5953</v>
      </c>
      <c r="W100" s="439">
        <v>111832</v>
      </c>
      <c r="X100" s="468">
        <f>W100-W99</f>
        <v>22811</v>
      </c>
      <c r="Y100" s="511">
        <v>57850</v>
      </c>
      <c r="Z100" s="470">
        <f>Y100-Y99</f>
        <v>12614</v>
      </c>
      <c r="AA100" s="459">
        <v>121951</v>
      </c>
      <c r="AB100" s="470">
        <f>AA100-AA99</f>
        <v>25388</v>
      </c>
      <c r="AC100" s="323">
        <f t="shared" si="97"/>
        <v>436079.44</v>
      </c>
      <c r="AD100" s="328">
        <f>Rates!$E$10</f>
        <v>0.088</v>
      </c>
      <c r="AE100" s="325">
        <f t="shared" si="98"/>
        <v>38374.99072</v>
      </c>
      <c r="AF100" s="326"/>
      <c r="AG100" s="453"/>
      <c r="AH100" s="256">
        <f t="shared" si="99"/>
        <v>317181.44</v>
      </c>
      <c r="AI100" s="257">
        <f t="shared" si="100"/>
        <v>27911.96672</v>
      </c>
      <c r="AJ100" s="258">
        <f t="shared" si="101"/>
        <v>118898</v>
      </c>
      <c r="AK100" s="257">
        <f t="shared" si="102"/>
        <v>10463.024</v>
      </c>
    </row>
    <row r="101" spans="1:37" s="76" customFormat="1" ht="13.5" thickBot="1">
      <c r="A101" s="127">
        <v>40513</v>
      </c>
      <c r="B101" s="462">
        <v>40526</v>
      </c>
      <c r="C101" s="460">
        <v>90281</v>
      </c>
      <c r="D101" s="468">
        <f>(C101-C100)</f>
        <v>35466</v>
      </c>
      <c r="E101" s="438" t="s">
        <v>117</v>
      </c>
      <c r="F101" s="461">
        <f t="shared" si="96"/>
        <v>24864</v>
      </c>
      <c r="G101" s="512">
        <v>191083</v>
      </c>
      <c r="H101" s="468">
        <f>(G101-G100)</f>
        <v>75987</v>
      </c>
      <c r="I101" s="438" t="s">
        <v>117</v>
      </c>
      <c r="J101" s="194">
        <v>0</v>
      </c>
      <c r="K101" s="460" t="s">
        <v>117</v>
      </c>
      <c r="L101" s="471">
        <v>0</v>
      </c>
      <c r="M101" s="438">
        <v>403976</v>
      </c>
      <c r="N101" s="473">
        <f>(M101-M100)</f>
        <v>160125</v>
      </c>
      <c r="O101" s="460">
        <v>69536</v>
      </c>
      <c r="P101" s="471">
        <f>O101-O100</f>
        <v>12116</v>
      </c>
      <c r="Q101" s="512">
        <v>80026</v>
      </c>
      <c r="R101" s="473">
        <f>Q101-Q100</f>
        <v>12468</v>
      </c>
      <c r="S101" s="460">
        <v>177508</v>
      </c>
      <c r="T101" s="471">
        <f>S101-S100</f>
        <v>27915</v>
      </c>
      <c r="U101" s="512">
        <v>41189</v>
      </c>
      <c r="V101" s="473">
        <f>U101-U100</f>
        <v>6065</v>
      </c>
      <c r="W101" s="440">
        <v>135148</v>
      </c>
      <c r="X101" s="471">
        <f>W101-W100</f>
        <v>23316</v>
      </c>
      <c r="Y101" s="512">
        <v>68918</v>
      </c>
      <c r="Z101" s="473">
        <f>Y101-Y100</f>
        <v>11068</v>
      </c>
      <c r="AA101" s="460">
        <v>147369</v>
      </c>
      <c r="AB101" s="473">
        <f>AA101-AA100</f>
        <v>25418</v>
      </c>
      <c r="AC101" s="524">
        <f t="shared" si="97"/>
        <v>382136.62</v>
      </c>
      <c r="AD101" s="432">
        <f>Rates!$E$10</f>
        <v>0.088</v>
      </c>
      <c r="AE101" s="433">
        <f t="shared" si="98"/>
        <v>33628.02256</v>
      </c>
      <c r="AF101" s="435">
        <f>SUM(AE99:AE101)</f>
        <v>98651.828</v>
      </c>
      <c r="AG101" s="453"/>
      <c r="AH101" s="256">
        <f t="shared" si="99"/>
        <v>263770.62</v>
      </c>
      <c r="AI101" s="257">
        <f t="shared" si="100"/>
        <v>23211.81456</v>
      </c>
      <c r="AJ101" s="258">
        <f t="shared" si="101"/>
        <v>118366</v>
      </c>
      <c r="AK101" s="257">
        <f t="shared" si="102"/>
        <v>10416.207999999999</v>
      </c>
    </row>
    <row r="102" spans="1:37" s="54" customFormat="1" ht="12.75">
      <c r="A102" s="127">
        <v>40544</v>
      </c>
      <c r="B102" s="462"/>
      <c r="C102" s="478"/>
      <c r="D102" s="463"/>
      <c r="E102" s="464"/>
      <c r="F102" s="461"/>
      <c r="G102" s="478"/>
      <c r="H102" s="463"/>
      <c r="I102" s="464"/>
      <c r="J102" s="264"/>
      <c r="K102" s="478"/>
      <c r="L102" s="463"/>
      <c r="M102" s="464"/>
      <c r="N102" s="465"/>
      <c r="O102" s="478"/>
      <c r="P102" s="463"/>
      <c r="Q102" s="510"/>
      <c r="R102" s="466"/>
      <c r="S102" s="478"/>
      <c r="T102" s="463"/>
      <c r="U102" s="510"/>
      <c r="V102" s="466"/>
      <c r="W102" s="441"/>
      <c r="X102" s="467"/>
      <c r="Y102" s="510"/>
      <c r="Z102" s="466"/>
      <c r="AA102" s="478"/>
      <c r="AB102" s="463"/>
      <c r="AC102" s="323"/>
      <c r="AD102" s="328"/>
      <c r="AE102" s="325"/>
      <c r="AF102" s="326"/>
      <c r="AG102" s="453"/>
      <c r="AH102" s="256">
        <f t="shared" si="99"/>
        <v>0</v>
      </c>
      <c r="AI102" s="257">
        <f t="shared" si="100"/>
        <v>0</v>
      </c>
      <c r="AJ102" s="258">
        <f t="shared" si="101"/>
        <v>0</v>
      </c>
      <c r="AK102" s="257">
        <f t="shared" si="102"/>
        <v>0</v>
      </c>
    </row>
    <row r="103" spans="1:37" s="76" customFormat="1" ht="12.75">
      <c r="A103" s="127">
        <v>40575</v>
      </c>
      <c r="B103" s="462"/>
      <c r="C103" s="459"/>
      <c r="D103" s="468"/>
      <c r="E103" s="469"/>
      <c r="F103" s="461"/>
      <c r="G103" s="459"/>
      <c r="H103" s="468"/>
      <c r="I103" s="469"/>
      <c r="J103" s="192"/>
      <c r="K103" s="459"/>
      <c r="L103" s="468"/>
      <c r="M103" s="469"/>
      <c r="N103" s="461"/>
      <c r="O103" s="459"/>
      <c r="P103" s="468"/>
      <c r="Q103" s="511"/>
      <c r="R103" s="470"/>
      <c r="S103" s="459"/>
      <c r="T103" s="468"/>
      <c r="U103" s="511"/>
      <c r="V103" s="470"/>
      <c r="W103" s="439"/>
      <c r="X103" s="456"/>
      <c r="Y103" s="511"/>
      <c r="Z103" s="470"/>
      <c r="AA103" s="459"/>
      <c r="AB103" s="468"/>
      <c r="AC103" s="327"/>
      <c r="AD103" s="328"/>
      <c r="AE103" s="325"/>
      <c r="AF103" s="326"/>
      <c r="AG103" s="453"/>
      <c r="AH103" s="256">
        <f t="shared" si="99"/>
        <v>0</v>
      </c>
      <c r="AI103" s="257">
        <f t="shared" si="100"/>
        <v>0</v>
      </c>
      <c r="AJ103" s="258">
        <f t="shared" si="101"/>
        <v>0</v>
      </c>
      <c r="AK103" s="257">
        <f t="shared" si="102"/>
        <v>0</v>
      </c>
    </row>
    <row r="104" spans="1:37" s="76" customFormat="1" ht="13.5" thickBot="1">
      <c r="A104" s="127">
        <v>40603</v>
      </c>
      <c r="B104" s="462"/>
      <c r="C104" s="460"/>
      <c r="D104" s="471"/>
      <c r="E104" s="438"/>
      <c r="F104" s="472"/>
      <c r="G104" s="460"/>
      <c r="H104" s="471"/>
      <c r="I104" s="438"/>
      <c r="J104" s="194"/>
      <c r="K104" s="460"/>
      <c r="L104" s="471"/>
      <c r="M104" s="438"/>
      <c r="N104" s="472"/>
      <c r="O104" s="460"/>
      <c r="P104" s="471"/>
      <c r="Q104" s="512"/>
      <c r="R104" s="473"/>
      <c r="S104" s="460"/>
      <c r="T104" s="471"/>
      <c r="U104" s="512"/>
      <c r="V104" s="473"/>
      <c r="W104" s="440"/>
      <c r="X104" s="474"/>
      <c r="Y104" s="512"/>
      <c r="Z104" s="473"/>
      <c r="AA104" s="460"/>
      <c r="AB104" s="471"/>
      <c r="AC104" s="388"/>
      <c r="AD104" s="432"/>
      <c r="AE104" s="433"/>
      <c r="AF104" s="435"/>
      <c r="AG104" s="453"/>
      <c r="AH104" s="256">
        <f t="shared" si="99"/>
        <v>0</v>
      </c>
      <c r="AI104" s="257">
        <f t="shared" si="100"/>
        <v>0</v>
      </c>
      <c r="AJ104" s="258">
        <f t="shared" si="101"/>
        <v>0</v>
      </c>
      <c r="AK104" s="257">
        <f t="shared" si="102"/>
        <v>0</v>
      </c>
    </row>
    <row r="105" spans="1:37" s="54" customFormat="1" ht="12.75">
      <c r="A105" s="127">
        <v>40634</v>
      </c>
      <c r="B105" s="462"/>
      <c r="C105" s="478"/>
      <c r="D105" s="463"/>
      <c r="E105" s="464"/>
      <c r="F105" s="465"/>
      <c r="G105" s="478"/>
      <c r="H105" s="463"/>
      <c r="I105" s="464"/>
      <c r="J105" s="264"/>
      <c r="K105" s="478"/>
      <c r="L105" s="463"/>
      <c r="M105" s="464"/>
      <c r="N105" s="465"/>
      <c r="O105" s="478"/>
      <c r="P105" s="463"/>
      <c r="Q105" s="510"/>
      <c r="R105" s="466"/>
      <c r="S105" s="478"/>
      <c r="T105" s="463"/>
      <c r="U105" s="510"/>
      <c r="V105" s="466"/>
      <c r="W105" s="441"/>
      <c r="X105" s="467"/>
      <c r="Y105" s="510"/>
      <c r="Z105" s="466"/>
      <c r="AA105" s="478"/>
      <c r="AB105" s="463"/>
      <c r="AC105" s="323"/>
      <c r="AD105" s="324"/>
      <c r="AE105" s="325"/>
      <c r="AF105" s="326"/>
      <c r="AG105" s="453"/>
      <c r="AH105" s="256">
        <f t="shared" si="99"/>
        <v>0</v>
      </c>
      <c r="AI105" s="257">
        <f t="shared" si="100"/>
        <v>0</v>
      </c>
      <c r="AJ105" s="258">
        <f t="shared" si="101"/>
        <v>0</v>
      </c>
      <c r="AK105" s="257">
        <f t="shared" si="102"/>
        <v>0</v>
      </c>
    </row>
    <row r="106" spans="1:37" s="76" customFormat="1" ht="12.75">
      <c r="A106" s="127">
        <v>40664</v>
      </c>
      <c r="B106" s="462"/>
      <c r="C106" s="459"/>
      <c r="D106" s="468"/>
      <c r="E106" s="469"/>
      <c r="F106" s="461"/>
      <c r="G106" s="459"/>
      <c r="H106" s="468"/>
      <c r="I106" s="469"/>
      <c r="J106" s="192"/>
      <c r="K106" s="459"/>
      <c r="L106" s="468"/>
      <c r="M106" s="469"/>
      <c r="N106" s="461"/>
      <c r="O106" s="459"/>
      <c r="P106" s="468"/>
      <c r="Q106" s="511"/>
      <c r="R106" s="470"/>
      <c r="S106" s="459"/>
      <c r="T106" s="468"/>
      <c r="U106" s="511"/>
      <c r="V106" s="470"/>
      <c r="W106" s="439"/>
      <c r="X106" s="456"/>
      <c r="Y106" s="511"/>
      <c r="Z106" s="470"/>
      <c r="AA106" s="459"/>
      <c r="AB106" s="468"/>
      <c r="AC106" s="327"/>
      <c r="AD106" s="328"/>
      <c r="AE106" s="325"/>
      <c r="AF106" s="326"/>
      <c r="AG106" s="453"/>
      <c r="AH106" s="256">
        <f t="shared" si="99"/>
        <v>0</v>
      </c>
      <c r="AI106" s="257">
        <f t="shared" si="100"/>
        <v>0</v>
      </c>
      <c r="AJ106" s="258">
        <f t="shared" si="101"/>
        <v>0</v>
      </c>
      <c r="AK106" s="257">
        <f t="shared" si="102"/>
        <v>0</v>
      </c>
    </row>
    <row r="107" spans="1:37" s="76" customFormat="1" ht="13.5" thickBot="1">
      <c r="A107" s="127">
        <v>40695</v>
      </c>
      <c r="B107" s="462"/>
      <c r="C107" s="460"/>
      <c r="D107" s="471"/>
      <c r="E107" s="438"/>
      <c r="F107" s="472"/>
      <c r="G107" s="460"/>
      <c r="H107" s="471"/>
      <c r="I107" s="438"/>
      <c r="J107" s="194"/>
      <c r="K107" s="460"/>
      <c r="L107" s="471"/>
      <c r="M107" s="438"/>
      <c r="N107" s="472"/>
      <c r="O107" s="460"/>
      <c r="P107" s="471"/>
      <c r="Q107" s="512"/>
      <c r="R107" s="473"/>
      <c r="S107" s="460"/>
      <c r="T107" s="471"/>
      <c r="U107" s="512"/>
      <c r="V107" s="473"/>
      <c r="W107" s="440"/>
      <c r="X107" s="474"/>
      <c r="Y107" s="512"/>
      <c r="Z107" s="473"/>
      <c r="AA107" s="460"/>
      <c r="AB107" s="471"/>
      <c r="AC107" s="388"/>
      <c r="AD107" s="432"/>
      <c r="AE107" s="433"/>
      <c r="AF107" s="435"/>
      <c r="AG107" s="453"/>
      <c r="AH107" s="256">
        <f t="shared" si="99"/>
        <v>0</v>
      </c>
      <c r="AI107" s="257">
        <f t="shared" si="100"/>
        <v>0</v>
      </c>
      <c r="AJ107" s="258">
        <f t="shared" si="101"/>
        <v>0</v>
      </c>
      <c r="AK107" s="257">
        <f t="shared" si="102"/>
        <v>0</v>
      </c>
    </row>
    <row r="108" spans="1:37" s="76" customFormat="1" ht="13.5" thickBot="1">
      <c r="A108" s="446" t="s">
        <v>137</v>
      </c>
      <c r="B108" s="329"/>
      <c r="C108" s="330"/>
      <c r="D108" s="331">
        <f>SUM(D84:D95)</f>
        <v>369400</v>
      </c>
      <c r="E108" s="331"/>
      <c r="F108" s="331">
        <f>SUM(F84:F95)</f>
        <v>240134</v>
      </c>
      <c r="G108" s="331"/>
      <c r="H108" s="331">
        <f>SUM(H84:H95)</f>
        <v>858200</v>
      </c>
      <c r="I108" s="331"/>
      <c r="J108" s="331">
        <f>SUM(J84:J95)</f>
        <v>0</v>
      </c>
      <c r="K108" s="331"/>
      <c r="L108" s="331">
        <f>SUM(L84:L95)</f>
        <v>1962500</v>
      </c>
      <c r="M108" s="331"/>
      <c r="N108" s="331">
        <f>SUM(N84:N95)</f>
        <v>0</v>
      </c>
      <c r="O108" s="331"/>
      <c r="P108" s="331">
        <f>SUM(P84:P95)</f>
        <v>125480</v>
      </c>
      <c r="Q108" s="330"/>
      <c r="R108" s="331">
        <f>SUM(R84:R95)</f>
        <v>152340</v>
      </c>
      <c r="S108" s="330"/>
      <c r="T108" s="331">
        <f>SUM(T84:T95)</f>
        <v>325180</v>
      </c>
      <c r="U108" s="330"/>
      <c r="V108" s="331">
        <f>SUM(V84:V95)</f>
        <v>66680</v>
      </c>
      <c r="W108" s="330"/>
      <c r="X108" s="331">
        <f>SUM(X84:X95)</f>
        <v>273123.3333333334</v>
      </c>
      <c r="Y108" s="330"/>
      <c r="Z108" s="331">
        <f>SUM(Z84:Z95)</f>
        <v>127470</v>
      </c>
      <c r="AA108" s="330"/>
      <c r="AB108" s="331">
        <f>SUM(AB84:AB95)</f>
        <v>296890</v>
      </c>
      <c r="AC108" s="331">
        <f>SUM(AC72:AC83)</f>
        <v>4419602.733333333</v>
      </c>
      <c r="AD108" s="332"/>
      <c r="AE108" s="333" t="s">
        <v>34</v>
      </c>
      <c r="AF108" s="334">
        <f>SUM(AF72:AF83)</f>
        <v>369036.8282333333</v>
      </c>
      <c r="AH108" s="256"/>
      <c r="AI108" s="257"/>
      <c r="AJ108" s="258"/>
      <c r="AK108" s="257"/>
    </row>
    <row r="109" spans="1:37" s="76" customFormat="1" ht="12.75">
      <c r="A109" s="447" t="s">
        <v>135</v>
      </c>
      <c r="B109" s="448"/>
      <c r="C109" s="449"/>
      <c r="D109" s="450">
        <f>SUM(D72:D83)</f>
        <v>358500</v>
      </c>
      <c r="E109" s="450"/>
      <c r="F109" s="450">
        <f>SUM(F72:F83)</f>
        <v>229046.66666666666</v>
      </c>
      <c r="G109" s="450"/>
      <c r="H109" s="450">
        <f>SUM(H72:H83)</f>
        <v>796600</v>
      </c>
      <c r="I109" s="450"/>
      <c r="J109" s="450">
        <f>SUM(J72:J83)</f>
        <v>0</v>
      </c>
      <c r="K109" s="450"/>
      <c r="L109" s="450">
        <f>SUM(L72:L83)</f>
        <v>1929200</v>
      </c>
      <c r="M109" s="450"/>
      <c r="N109" s="450">
        <f>SUM(N72:N83)</f>
        <v>0</v>
      </c>
      <c r="O109" s="450"/>
      <c r="P109" s="450">
        <f>SUM(P72:P83)</f>
        <v>150020</v>
      </c>
      <c r="Q109" s="450"/>
      <c r="R109" s="450">
        <f>SUM(R72:R83)</f>
        <v>155370</v>
      </c>
      <c r="S109" s="450"/>
      <c r="T109" s="450">
        <f>SUM(T72:T83)</f>
        <v>341980</v>
      </c>
      <c r="U109" s="450"/>
      <c r="V109" s="450">
        <f>SUM(V72:V83)</f>
        <v>62014</v>
      </c>
      <c r="W109" s="450"/>
      <c r="X109" s="450">
        <f>SUM(X72:X83)</f>
        <v>273123.3333333334</v>
      </c>
      <c r="Y109" s="450"/>
      <c r="Z109" s="450">
        <f>SUM(Z72:Z83)</f>
        <v>145590</v>
      </c>
      <c r="AA109" s="450"/>
      <c r="AB109" s="450">
        <f>SUM(AB72:AB83)</f>
        <v>324540</v>
      </c>
      <c r="AC109" s="450">
        <f>SUM(AC60:AC71)</f>
        <v>4571854.9</v>
      </c>
      <c r="AF109" s="451">
        <f>SUM(AF60:AF71)</f>
        <v>411466.941</v>
      </c>
      <c r="AH109" s="256"/>
      <c r="AI109" s="257"/>
      <c r="AJ109" s="258"/>
      <c r="AK109" s="257"/>
    </row>
    <row r="110" spans="2:37" s="76" customFormat="1" ht="14.25">
      <c r="B110" s="336" t="s">
        <v>124</v>
      </c>
      <c r="C110" s="337"/>
      <c r="D110" s="338"/>
      <c r="E110" s="339"/>
      <c r="F110" s="338"/>
      <c r="G110" s="339"/>
      <c r="H110" s="340"/>
      <c r="I110" s="341"/>
      <c r="J110" s="338"/>
      <c r="K110" s="339"/>
      <c r="L110" s="340"/>
      <c r="M110" s="341"/>
      <c r="N110" s="120"/>
      <c r="O110" s="177"/>
      <c r="P110" s="174"/>
      <c r="Q110" s="115"/>
      <c r="R110" s="79"/>
      <c r="S110" s="80"/>
      <c r="V110" s="255"/>
      <c r="AH110" s="256"/>
      <c r="AI110" s="257"/>
      <c r="AJ110" s="258"/>
      <c r="AK110" s="257"/>
    </row>
    <row r="111" spans="1:37" s="76" customFormat="1" ht="10.5" customHeight="1">
      <c r="A111" s="255"/>
      <c r="B111" s="336" t="s">
        <v>125</v>
      </c>
      <c r="C111" s="337"/>
      <c r="D111" s="338"/>
      <c r="E111" s="339"/>
      <c r="F111" s="338"/>
      <c r="G111" s="339"/>
      <c r="H111" s="340"/>
      <c r="I111" s="341"/>
      <c r="J111" s="338"/>
      <c r="K111" s="339"/>
      <c r="L111" s="340"/>
      <c r="M111" s="341"/>
      <c r="N111" s="120"/>
      <c r="O111" s="174"/>
      <c r="P111" s="115"/>
      <c r="Q111" s="79"/>
      <c r="R111" s="80"/>
      <c r="AH111" s="256"/>
      <c r="AI111" s="257"/>
      <c r="AJ111" s="258"/>
      <c r="AK111" s="257"/>
    </row>
    <row r="112" spans="2:37" s="76" customFormat="1" ht="15" thickBot="1">
      <c r="B112" s="336"/>
      <c r="C112" s="337"/>
      <c r="D112" s="338"/>
      <c r="E112" s="339"/>
      <c r="F112" s="338"/>
      <c r="G112" s="339"/>
      <c r="H112" s="340"/>
      <c r="I112" s="341"/>
      <c r="J112" s="338"/>
      <c r="K112" s="339"/>
      <c r="L112" s="340"/>
      <c r="M112" s="341"/>
      <c r="N112" s="338"/>
      <c r="O112" s="337"/>
      <c r="P112" s="342"/>
      <c r="Q112" s="79"/>
      <c r="R112" s="80"/>
      <c r="V112" s="255"/>
      <c r="W112" s="343"/>
      <c r="AH112" s="211" t="s">
        <v>1</v>
      </c>
      <c r="AI112" s="257"/>
      <c r="AJ112" s="258"/>
      <c r="AK112" s="257"/>
    </row>
    <row r="113" spans="3:37" s="76" customFormat="1" ht="16.5" thickBot="1">
      <c r="C113" s="513" t="s">
        <v>1</v>
      </c>
      <c r="D113" s="514"/>
      <c r="E113" s="210" t="s">
        <v>108</v>
      </c>
      <c r="F113" s="344"/>
      <c r="G113" s="344"/>
      <c r="H113" s="344"/>
      <c r="I113" s="344"/>
      <c r="J113" s="344"/>
      <c r="K113" s="344"/>
      <c r="L113" s="344"/>
      <c r="M113" s="344"/>
      <c r="N113" s="344"/>
      <c r="O113" s="458" t="s">
        <v>136</v>
      </c>
      <c r="P113" s="344"/>
      <c r="Q113" s="345"/>
      <c r="R113" s="345">
        <v>1.1198</v>
      </c>
      <c r="S113" s="344"/>
      <c r="T113" s="344"/>
      <c r="U113" s="344"/>
      <c r="V113" s="344"/>
      <c r="W113" s="344"/>
      <c r="X113" s="344"/>
      <c r="Y113" s="344"/>
      <c r="Z113" s="344"/>
      <c r="AA113" s="344"/>
      <c r="AB113" s="344"/>
      <c r="AC113" s="344"/>
      <c r="AD113" s="344"/>
      <c r="AE113" s="344"/>
      <c r="AF113" s="344"/>
      <c r="AG113" s="344"/>
      <c r="AH113" s="527" t="s">
        <v>113</v>
      </c>
      <c r="AI113" s="527"/>
      <c r="AJ113" s="527" t="s">
        <v>114</v>
      </c>
      <c r="AK113" s="527"/>
    </row>
    <row r="114" spans="1:37" s="211" customFormat="1" ht="25.5">
      <c r="A114" s="214" t="s">
        <v>79</v>
      </c>
      <c r="B114" s="215" t="s">
        <v>23</v>
      </c>
      <c r="C114" s="528" t="s">
        <v>40</v>
      </c>
      <c r="D114" s="529"/>
      <c r="E114" s="528" t="s">
        <v>126</v>
      </c>
      <c r="F114" s="529"/>
      <c r="G114" s="528" t="s">
        <v>41</v>
      </c>
      <c r="H114" s="529"/>
      <c r="I114" s="528"/>
      <c r="J114" s="529"/>
      <c r="K114" s="528" t="s">
        <v>127</v>
      </c>
      <c r="L114" s="529"/>
      <c r="M114" s="528"/>
      <c r="N114" s="529"/>
      <c r="O114" s="528">
        <v>1000</v>
      </c>
      <c r="P114" s="529"/>
      <c r="Q114" s="528">
        <v>2000</v>
      </c>
      <c r="R114" s="529"/>
      <c r="S114" s="528">
        <v>3000</v>
      </c>
      <c r="T114" s="529"/>
      <c r="U114" s="528">
        <v>4000</v>
      </c>
      <c r="V114" s="529"/>
      <c r="W114" s="528">
        <v>5000</v>
      </c>
      <c r="X114" s="529"/>
      <c r="Y114" s="528">
        <v>6000</v>
      </c>
      <c r="Z114" s="529"/>
      <c r="AA114" s="528">
        <v>7000</v>
      </c>
      <c r="AB114" s="529"/>
      <c r="AC114" s="217" t="s">
        <v>26</v>
      </c>
      <c r="AD114" s="218" t="s">
        <v>24</v>
      </c>
      <c r="AE114" s="217" t="s">
        <v>31</v>
      </c>
      <c r="AF114" s="217" t="s">
        <v>33</v>
      </c>
      <c r="AH114" s="219" t="s">
        <v>26</v>
      </c>
      <c r="AI114" s="219" t="s">
        <v>31</v>
      </c>
      <c r="AJ114" s="219" t="s">
        <v>26</v>
      </c>
      <c r="AK114" s="219" t="s">
        <v>31</v>
      </c>
    </row>
    <row r="115" spans="2:37" s="211" customFormat="1" ht="13.5" thickBot="1">
      <c r="B115" s="116"/>
      <c r="C115" s="225" t="s">
        <v>20</v>
      </c>
      <c r="D115" s="226" t="s">
        <v>35</v>
      </c>
      <c r="E115" s="225" t="s">
        <v>20</v>
      </c>
      <c r="F115" s="226" t="s">
        <v>35</v>
      </c>
      <c r="G115" s="225" t="s">
        <v>20</v>
      </c>
      <c r="H115" s="226" t="s">
        <v>35</v>
      </c>
      <c r="I115" s="225"/>
      <c r="J115" s="226"/>
      <c r="K115" s="225" t="s">
        <v>20</v>
      </c>
      <c r="L115" s="226" t="s">
        <v>35</v>
      </c>
      <c r="M115" s="225"/>
      <c r="N115" s="226"/>
      <c r="O115" s="225" t="s">
        <v>20</v>
      </c>
      <c r="P115" s="226" t="s">
        <v>35</v>
      </c>
      <c r="Q115" s="225" t="s">
        <v>20</v>
      </c>
      <c r="R115" s="226" t="s">
        <v>35</v>
      </c>
      <c r="S115" s="225" t="s">
        <v>20</v>
      </c>
      <c r="T115" s="226" t="s">
        <v>35</v>
      </c>
      <c r="U115" s="225" t="s">
        <v>20</v>
      </c>
      <c r="V115" s="226" t="s">
        <v>35</v>
      </c>
      <c r="W115" s="225" t="s">
        <v>20</v>
      </c>
      <c r="X115" s="226" t="s">
        <v>35</v>
      </c>
      <c r="Y115" s="225" t="s">
        <v>20</v>
      </c>
      <c r="Z115" s="226" t="s">
        <v>35</v>
      </c>
      <c r="AA115" s="225" t="s">
        <v>20</v>
      </c>
      <c r="AB115" s="226" t="s">
        <v>35</v>
      </c>
      <c r="AC115" s="226" t="s">
        <v>35</v>
      </c>
      <c r="AD115" s="227" t="s">
        <v>36</v>
      </c>
      <c r="AE115" s="227" t="s">
        <v>32</v>
      </c>
      <c r="AF115" s="227"/>
      <c r="AH115" s="228" t="s">
        <v>35</v>
      </c>
      <c r="AI115" s="204" t="s">
        <v>32</v>
      </c>
      <c r="AJ115" s="228" t="s">
        <v>35</v>
      </c>
      <c r="AK115" s="204" t="s">
        <v>32</v>
      </c>
    </row>
    <row r="116" spans="1:37" s="76" customFormat="1" ht="13.5" thickBot="1">
      <c r="A116" s="121">
        <v>37653</v>
      </c>
      <c r="B116" s="116">
        <v>37680</v>
      </c>
      <c r="C116" s="250">
        <v>0</v>
      </c>
      <c r="D116" s="192"/>
      <c r="E116" s="250" t="s">
        <v>68</v>
      </c>
      <c r="F116" s="192"/>
      <c r="G116" s="250">
        <v>0</v>
      </c>
      <c r="H116" s="192"/>
      <c r="I116" s="250"/>
      <c r="J116" s="192"/>
      <c r="K116" s="250">
        <v>0</v>
      </c>
      <c r="L116" s="192"/>
      <c r="M116" s="250"/>
      <c r="N116" s="192"/>
      <c r="O116" s="250">
        <v>5156</v>
      </c>
      <c r="P116" s="192"/>
      <c r="Q116" s="250">
        <v>5104</v>
      </c>
      <c r="R116" s="192"/>
      <c r="S116" s="250">
        <v>27213</v>
      </c>
      <c r="T116" s="192"/>
      <c r="U116" s="250"/>
      <c r="V116" s="192"/>
      <c r="W116" s="250">
        <v>52377</v>
      </c>
      <c r="X116" s="192"/>
      <c r="Y116" s="250">
        <v>4567</v>
      </c>
      <c r="Z116" s="192"/>
      <c r="AA116" s="250">
        <v>18954</v>
      </c>
      <c r="AB116" s="192"/>
      <c r="AC116" s="346">
        <f aca="true" t="shared" si="103" ref="AC116:AC121">D116+F116+H116+L116+P116+R116+T116+V116+X116+Z116+AB116</f>
        <v>0</v>
      </c>
      <c r="AD116" s="347"/>
      <c r="AE116" s="347"/>
      <c r="AF116" s="347"/>
      <c r="AH116" s="256"/>
      <c r="AI116" s="257"/>
      <c r="AJ116" s="258"/>
      <c r="AK116" s="257"/>
    </row>
    <row r="117" spans="1:37" s="76" customFormat="1" ht="13.5" thickBot="1">
      <c r="A117" s="121">
        <v>37681</v>
      </c>
      <c r="B117" s="116">
        <v>37711</v>
      </c>
      <c r="C117" s="250">
        <v>0</v>
      </c>
      <c r="D117" s="192">
        <f>C117-C116</f>
        <v>0</v>
      </c>
      <c r="E117" s="250" t="s">
        <v>68</v>
      </c>
      <c r="F117" s="192"/>
      <c r="G117" s="250">
        <v>0</v>
      </c>
      <c r="H117" s="192">
        <f aca="true" t="shared" si="104" ref="H117:H123">G117-G116</f>
        <v>0</v>
      </c>
      <c r="I117" s="250"/>
      <c r="J117" s="192"/>
      <c r="K117" s="250">
        <v>0</v>
      </c>
      <c r="L117" s="192">
        <f>K117-K116</f>
        <v>0</v>
      </c>
      <c r="M117" s="250"/>
      <c r="N117" s="192"/>
      <c r="O117" s="263">
        <v>6181</v>
      </c>
      <c r="P117" s="264">
        <f>O117-O116</f>
        <v>1025</v>
      </c>
      <c r="Q117" s="263">
        <v>6003</v>
      </c>
      <c r="R117" s="264">
        <f>Q117-Q116</f>
        <v>899</v>
      </c>
      <c r="S117" s="263">
        <v>29314</v>
      </c>
      <c r="T117" s="264">
        <f>S117-S116</f>
        <v>2101</v>
      </c>
      <c r="U117" s="263">
        <v>79</v>
      </c>
      <c r="V117" s="264">
        <f>U117-U116</f>
        <v>79</v>
      </c>
      <c r="W117" s="263">
        <v>54200</v>
      </c>
      <c r="X117" s="264">
        <f>W117-W116</f>
        <v>1823</v>
      </c>
      <c r="Y117" s="263">
        <v>5414</v>
      </c>
      <c r="Z117" s="264">
        <f>Y117-Y116</f>
        <v>847</v>
      </c>
      <c r="AA117" s="263">
        <v>20097</v>
      </c>
      <c r="AB117" s="264">
        <f>AA117-AA116</f>
        <v>1143</v>
      </c>
      <c r="AC117" s="265">
        <f t="shared" si="103"/>
        <v>7917</v>
      </c>
      <c r="AD117" s="348"/>
      <c r="AE117" s="348"/>
      <c r="AF117" s="348"/>
      <c r="AH117" s="256"/>
      <c r="AI117" s="257"/>
      <c r="AJ117" s="258"/>
      <c r="AK117" s="257"/>
    </row>
    <row r="118" spans="1:37" s="76" customFormat="1" ht="12.75">
      <c r="A118" s="121">
        <v>37712</v>
      </c>
      <c r="B118" s="116">
        <v>37741</v>
      </c>
      <c r="C118" s="250">
        <v>0</v>
      </c>
      <c r="D118" s="192">
        <f>C118-C117</f>
        <v>0</v>
      </c>
      <c r="E118" s="250" t="s">
        <v>68</v>
      </c>
      <c r="F118" s="192"/>
      <c r="G118" s="250">
        <v>0</v>
      </c>
      <c r="H118" s="192">
        <f t="shared" si="104"/>
        <v>0</v>
      </c>
      <c r="I118" s="250"/>
      <c r="J118" s="192"/>
      <c r="K118" s="250">
        <v>0</v>
      </c>
      <c r="L118" s="192">
        <f>K118-K117</f>
        <v>0</v>
      </c>
      <c r="M118" s="250"/>
      <c r="N118" s="192"/>
      <c r="O118" s="263">
        <v>6698</v>
      </c>
      <c r="P118" s="264">
        <f>O118-O117</f>
        <v>517</v>
      </c>
      <c r="Q118" s="263">
        <v>6575</v>
      </c>
      <c r="R118" s="264">
        <f>Q118-Q117</f>
        <v>572</v>
      </c>
      <c r="S118" s="263">
        <v>30775</v>
      </c>
      <c r="T118" s="264">
        <f>S118-S117</f>
        <v>1461</v>
      </c>
      <c r="U118" s="263">
        <v>350</v>
      </c>
      <c r="V118" s="264">
        <f>U118-U117</f>
        <v>271</v>
      </c>
      <c r="W118" s="263">
        <v>55354</v>
      </c>
      <c r="X118" s="264">
        <f>W118-W117</f>
        <v>1154</v>
      </c>
      <c r="Y118" s="263">
        <v>6007</v>
      </c>
      <c r="Z118" s="264">
        <f>Y118-Y117</f>
        <v>593</v>
      </c>
      <c r="AA118" s="263">
        <v>21582</v>
      </c>
      <c r="AB118" s="264">
        <f>AA118-AA117</f>
        <v>1485</v>
      </c>
      <c r="AC118" s="265">
        <f t="shared" si="103"/>
        <v>6053</v>
      </c>
      <c r="AD118" s="348"/>
      <c r="AE118" s="348"/>
      <c r="AF118" s="348"/>
      <c r="AH118" s="256"/>
      <c r="AI118" s="257"/>
      <c r="AJ118" s="258"/>
      <c r="AK118" s="257"/>
    </row>
    <row r="119" spans="1:37" s="76" customFormat="1" ht="12.75">
      <c r="A119" s="121">
        <v>37742</v>
      </c>
      <c r="B119" s="116">
        <v>37775</v>
      </c>
      <c r="C119" s="250">
        <v>0</v>
      </c>
      <c r="D119" s="192">
        <f>C119-C118</f>
        <v>0</v>
      </c>
      <c r="E119" s="250" t="s">
        <v>68</v>
      </c>
      <c r="F119" s="192"/>
      <c r="G119" s="250">
        <v>0</v>
      </c>
      <c r="H119" s="192">
        <f t="shared" si="104"/>
        <v>0</v>
      </c>
      <c r="I119" s="250"/>
      <c r="J119" s="192"/>
      <c r="K119" s="250">
        <v>0</v>
      </c>
      <c r="L119" s="192">
        <f>K119-K118</f>
        <v>0</v>
      </c>
      <c r="M119" s="250"/>
      <c r="N119" s="192"/>
      <c r="O119" s="250">
        <v>7053</v>
      </c>
      <c r="P119" s="192">
        <f>O119-O118</f>
        <v>355</v>
      </c>
      <c r="Q119" s="250">
        <v>6838</v>
      </c>
      <c r="R119" s="192">
        <f>Q119-Q118</f>
        <v>263</v>
      </c>
      <c r="S119" s="250">
        <v>31382</v>
      </c>
      <c r="T119" s="192">
        <f>S119-S118</f>
        <v>607</v>
      </c>
      <c r="U119" s="250">
        <v>506</v>
      </c>
      <c r="V119" s="192">
        <f>U119-U118</f>
        <v>156</v>
      </c>
      <c r="W119" s="250">
        <v>55892</v>
      </c>
      <c r="X119" s="192">
        <f>W119-W118</f>
        <v>538</v>
      </c>
      <c r="Y119" s="250">
        <v>6400</v>
      </c>
      <c r="Z119" s="192">
        <f>Y119-Y118</f>
        <v>393</v>
      </c>
      <c r="AA119" s="250">
        <v>22326</v>
      </c>
      <c r="AB119" s="192">
        <f>AA119-AA118</f>
        <v>744</v>
      </c>
      <c r="AC119" s="265">
        <f t="shared" si="103"/>
        <v>3056</v>
      </c>
      <c r="AD119" s="348"/>
      <c r="AE119" s="348"/>
      <c r="AF119" s="348"/>
      <c r="AH119" s="256"/>
      <c r="AI119" s="257"/>
      <c r="AJ119" s="258"/>
      <c r="AK119" s="257"/>
    </row>
    <row r="120" spans="1:37" s="76" customFormat="1" ht="13.5" thickBot="1">
      <c r="A120" s="121">
        <v>37773</v>
      </c>
      <c r="B120" s="116">
        <v>37811</v>
      </c>
      <c r="C120" s="191">
        <v>11599</v>
      </c>
      <c r="D120" s="194"/>
      <c r="E120" s="191" t="s">
        <v>68</v>
      </c>
      <c r="F120" s="194"/>
      <c r="G120" s="191">
        <v>147.3</v>
      </c>
      <c r="H120" s="194">
        <f t="shared" si="104"/>
        <v>147.3</v>
      </c>
      <c r="I120" s="191"/>
      <c r="J120" s="194"/>
      <c r="K120" s="191">
        <v>14928</v>
      </c>
      <c r="L120" s="194">
        <f>(K120-K119)*1.45</f>
        <v>21645.6</v>
      </c>
      <c r="M120" s="191"/>
      <c r="N120" s="194"/>
      <c r="O120" s="191">
        <v>7260</v>
      </c>
      <c r="P120" s="194">
        <f>O120-O119</f>
        <v>207</v>
      </c>
      <c r="Q120" s="191">
        <v>6979</v>
      </c>
      <c r="R120" s="194">
        <f>Q120-Q119</f>
        <v>141</v>
      </c>
      <c r="S120" s="191">
        <v>31800</v>
      </c>
      <c r="T120" s="194">
        <f>S120-S119</f>
        <v>418</v>
      </c>
      <c r="U120" s="191">
        <v>537</v>
      </c>
      <c r="V120" s="194">
        <f>U120-U119</f>
        <v>31</v>
      </c>
      <c r="W120" s="191">
        <v>56223</v>
      </c>
      <c r="X120" s="194">
        <f>W120-W119</f>
        <v>331</v>
      </c>
      <c r="Y120" s="191">
        <v>6576</v>
      </c>
      <c r="Z120" s="194">
        <f>Y120-Y119</f>
        <v>176</v>
      </c>
      <c r="AA120" s="191">
        <v>22773</v>
      </c>
      <c r="AB120" s="194">
        <f>AA120-AA119</f>
        <v>447</v>
      </c>
      <c r="AC120" s="349">
        <f t="shared" si="103"/>
        <v>23543.899999999998</v>
      </c>
      <c r="AD120" s="350"/>
      <c r="AE120" s="350"/>
      <c r="AF120" s="348"/>
      <c r="AH120" s="256"/>
      <c r="AI120" s="257"/>
      <c r="AJ120" s="258"/>
      <c r="AK120" s="257"/>
    </row>
    <row r="121" spans="1:37" s="115" customFormat="1" ht="12.75">
      <c r="A121" s="121">
        <v>37803</v>
      </c>
      <c r="B121" s="116">
        <v>37834</v>
      </c>
      <c r="C121" s="250">
        <v>0</v>
      </c>
      <c r="D121" s="192">
        <v>0</v>
      </c>
      <c r="E121" s="250" t="s">
        <v>68</v>
      </c>
      <c r="F121" s="57">
        <v>250</v>
      </c>
      <c r="G121" s="58">
        <v>207.5</v>
      </c>
      <c r="H121" s="59">
        <f t="shared" si="104"/>
        <v>60.19999999999999</v>
      </c>
      <c r="I121" s="58"/>
      <c r="J121" s="63"/>
      <c r="K121" s="58">
        <v>16720</v>
      </c>
      <c r="L121" s="63">
        <f>(K121-K120)*1.45</f>
        <v>2598.4</v>
      </c>
      <c r="M121" s="58"/>
      <c r="N121" s="63"/>
      <c r="O121" s="66">
        <v>7400</v>
      </c>
      <c r="P121" s="63">
        <v>204</v>
      </c>
      <c r="Q121" s="66">
        <v>7073</v>
      </c>
      <c r="R121" s="63">
        <v>132</v>
      </c>
      <c r="S121" s="66">
        <v>32101</v>
      </c>
      <c r="T121" s="63">
        <v>435</v>
      </c>
      <c r="U121" s="66">
        <v>557</v>
      </c>
      <c r="V121" s="63">
        <v>26</v>
      </c>
      <c r="W121" s="66">
        <v>56478</v>
      </c>
      <c r="X121" s="63">
        <v>366</v>
      </c>
      <c r="Y121" s="66">
        <v>6787</v>
      </c>
      <c r="Z121" s="63">
        <v>290</v>
      </c>
      <c r="AA121" s="66">
        <v>23059</v>
      </c>
      <c r="AB121" s="63">
        <v>414</v>
      </c>
      <c r="AC121" s="106">
        <f t="shared" si="103"/>
        <v>4775.6</v>
      </c>
      <c r="AD121" s="143">
        <v>0.6505</v>
      </c>
      <c r="AE121" s="150">
        <f>AC121*AD121</f>
        <v>3106.5278000000003</v>
      </c>
      <c r="AF121" s="154"/>
      <c r="AH121" s="147">
        <f>D121+F121+H121+L121</f>
        <v>2908.6</v>
      </c>
      <c r="AI121" s="186">
        <f>AH121*AD121</f>
        <v>1892.0442999999998</v>
      </c>
      <c r="AJ121" s="187">
        <f>P121+R121+T121+V121+X121+Z121+AB121</f>
        <v>1867</v>
      </c>
      <c r="AK121" s="186">
        <f t="shared" si="34"/>
        <v>1214.4835</v>
      </c>
    </row>
    <row r="122" spans="1:37" s="115" customFormat="1" ht="12.75">
      <c r="A122" s="127">
        <v>37834</v>
      </c>
      <c r="B122" s="116">
        <v>37866</v>
      </c>
      <c r="C122" s="250">
        <v>0</v>
      </c>
      <c r="D122" s="192">
        <v>0</v>
      </c>
      <c r="E122" s="250" t="s">
        <v>68</v>
      </c>
      <c r="F122" s="57">
        <v>1000</v>
      </c>
      <c r="G122" s="58">
        <v>282.2</v>
      </c>
      <c r="H122" s="59">
        <f t="shared" si="104"/>
        <v>74.69999999999999</v>
      </c>
      <c r="I122" s="58"/>
      <c r="J122" s="59"/>
      <c r="K122" s="58">
        <v>18560</v>
      </c>
      <c r="L122" s="59">
        <f>(K122-K121)*1.45</f>
        <v>2668</v>
      </c>
      <c r="M122" s="58"/>
      <c r="N122" s="59"/>
      <c r="O122" s="58">
        <v>7564</v>
      </c>
      <c r="P122" s="59">
        <v>164</v>
      </c>
      <c r="Q122" s="58">
        <v>7185</v>
      </c>
      <c r="R122" s="59">
        <v>112</v>
      </c>
      <c r="S122" s="58">
        <v>32406</v>
      </c>
      <c r="T122" s="59">
        <v>305</v>
      </c>
      <c r="U122" s="58">
        <v>581</v>
      </c>
      <c r="V122" s="59">
        <f aca="true" t="shared" si="105" ref="V122:V129">U122-U121</f>
        <v>24</v>
      </c>
      <c r="W122" s="58">
        <v>56750</v>
      </c>
      <c r="X122" s="59">
        <v>272</v>
      </c>
      <c r="Y122" s="58">
        <v>6956</v>
      </c>
      <c r="Z122" s="59">
        <v>169</v>
      </c>
      <c r="AA122" s="58">
        <v>23403</v>
      </c>
      <c r="AB122" s="59">
        <v>344</v>
      </c>
      <c r="AC122" s="106">
        <f aca="true" t="shared" si="106" ref="AC122:AC177">D122+F122+H122+L122+P122+R122+T122+V122+X122+Z122+AB122</f>
        <v>5132.7</v>
      </c>
      <c r="AD122" s="145">
        <v>0.6505</v>
      </c>
      <c r="AE122" s="150">
        <f>AC122*AD122</f>
        <v>3338.8213499999997</v>
      </c>
      <c r="AF122" s="151"/>
      <c r="AH122" s="147">
        <f aca="true" t="shared" si="107" ref="AH122:AH172">D122+F122+H122+L122</f>
        <v>3742.7</v>
      </c>
      <c r="AI122" s="186">
        <f t="shared" si="32"/>
        <v>2434.6263499999995</v>
      </c>
      <c r="AJ122" s="187">
        <f aca="true" t="shared" si="108" ref="AJ122:AJ172">P122+R122+T122+V122+X122+Z122+AB122</f>
        <v>1390</v>
      </c>
      <c r="AK122" s="186">
        <f t="shared" si="34"/>
        <v>904.1949999999999</v>
      </c>
    </row>
    <row r="123" spans="1:37" s="115" customFormat="1" ht="13.5" thickBot="1">
      <c r="A123" s="127">
        <v>37865</v>
      </c>
      <c r="B123" s="116">
        <v>37523</v>
      </c>
      <c r="C123" s="250">
        <v>12945</v>
      </c>
      <c r="D123" s="192">
        <f>C123-C120</f>
        <v>1346</v>
      </c>
      <c r="E123" s="191" t="s">
        <v>68</v>
      </c>
      <c r="F123" s="61">
        <v>3000</v>
      </c>
      <c r="G123" s="60">
        <v>487.2</v>
      </c>
      <c r="H123" s="59">
        <f t="shared" si="104"/>
        <v>205</v>
      </c>
      <c r="I123" s="58"/>
      <c r="J123" s="59"/>
      <c r="K123" s="58">
        <v>21446</v>
      </c>
      <c r="L123" s="59">
        <f>(K123-K122)*1.45</f>
        <v>4184.7</v>
      </c>
      <c r="M123" s="58"/>
      <c r="N123" s="59"/>
      <c r="O123" s="60">
        <v>7790</v>
      </c>
      <c r="P123" s="70">
        <v>226</v>
      </c>
      <c r="Q123" s="60">
        <v>7420</v>
      </c>
      <c r="R123" s="70">
        <v>235</v>
      </c>
      <c r="S123" s="60">
        <v>32910</v>
      </c>
      <c r="T123" s="70">
        <v>504</v>
      </c>
      <c r="U123" s="60">
        <v>604</v>
      </c>
      <c r="V123" s="70">
        <f t="shared" si="105"/>
        <v>23</v>
      </c>
      <c r="W123" s="60">
        <v>57216</v>
      </c>
      <c r="X123" s="70">
        <v>466</v>
      </c>
      <c r="Y123" s="60">
        <v>7198</v>
      </c>
      <c r="Z123" s="70">
        <v>242</v>
      </c>
      <c r="AA123" s="60">
        <v>23926</v>
      </c>
      <c r="AB123" s="70">
        <v>523</v>
      </c>
      <c r="AC123" s="81">
        <f t="shared" si="106"/>
        <v>10954.7</v>
      </c>
      <c r="AD123" s="135">
        <v>0.6505</v>
      </c>
      <c r="AE123" s="152">
        <f>AC123*AD123</f>
        <v>7126.03235</v>
      </c>
      <c r="AF123" s="152">
        <f>SUM(AE121:AE123)</f>
        <v>13571.3815</v>
      </c>
      <c r="AH123" s="147">
        <f t="shared" si="107"/>
        <v>8735.7</v>
      </c>
      <c r="AI123" s="186">
        <f t="shared" si="32"/>
        <v>5682.5728500000005</v>
      </c>
      <c r="AJ123" s="187">
        <f t="shared" si="108"/>
        <v>2219</v>
      </c>
      <c r="AK123" s="186">
        <f t="shared" si="34"/>
        <v>1443.4595</v>
      </c>
    </row>
    <row r="124" spans="1:37" s="115" customFormat="1" ht="12.75">
      <c r="A124" s="127">
        <v>37895</v>
      </c>
      <c r="B124" s="178">
        <v>37918</v>
      </c>
      <c r="C124" s="62">
        <f>(C125-C123)/2+C123</f>
        <v>14161.5</v>
      </c>
      <c r="D124" s="63">
        <f>C124-C123</f>
        <v>1216.5</v>
      </c>
      <c r="E124" s="64" t="s">
        <v>68</v>
      </c>
      <c r="F124" s="65">
        <v>6000</v>
      </c>
      <c r="G124" s="66">
        <v>814.1</v>
      </c>
      <c r="H124" s="63">
        <f aca="true" t="shared" si="109" ref="H124:H131">G124-G123</f>
        <v>326.90000000000003</v>
      </c>
      <c r="I124" s="66"/>
      <c r="J124" s="63"/>
      <c r="K124" s="66">
        <v>25750</v>
      </c>
      <c r="L124" s="63">
        <f aca="true" t="shared" si="110" ref="L124:L168">(K124-K123)*1.45</f>
        <v>6240.8</v>
      </c>
      <c r="M124" s="66"/>
      <c r="N124" s="63"/>
      <c r="O124" s="66">
        <v>8203</v>
      </c>
      <c r="P124" s="63">
        <f aca="true" t="shared" si="111" ref="P124:P153">O124-O123</f>
        <v>413</v>
      </c>
      <c r="Q124" s="66">
        <v>7819</v>
      </c>
      <c r="R124" s="63">
        <f aca="true" t="shared" si="112" ref="R124:R129">Q124-Q123</f>
        <v>399</v>
      </c>
      <c r="S124" s="66">
        <v>33827</v>
      </c>
      <c r="T124" s="63">
        <f aca="true" t="shared" si="113" ref="T124:T129">S124-S123</f>
        <v>917</v>
      </c>
      <c r="U124" s="66">
        <v>770</v>
      </c>
      <c r="V124" s="63">
        <f t="shared" si="105"/>
        <v>166</v>
      </c>
      <c r="W124" s="66">
        <v>58040</v>
      </c>
      <c r="X124" s="63">
        <f aca="true" t="shared" si="114" ref="X124:X129">W124-W123</f>
        <v>824</v>
      </c>
      <c r="Y124" s="66">
        <v>7581</v>
      </c>
      <c r="Z124" s="63">
        <f aca="true" t="shared" si="115" ref="Z124:Z129">Y124-Y123</f>
        <v>383</v>
      </c>
      <c r="AA124" s="66">
        <v>24858</v>
      </c>
      <c r="AB124" s="63">
        <f aca="true" t="shared" si="116" ref="AB124:AB129">AA124-AA123</f>
        <v>932</v>
      </c>
      <c r="AC124" s="63">
        <f t="shared" si="106"/>
        <v>17818.2</v>
      </c>
      <c r="AD124" s="143">
        <v>0.6505</v>
      </c>
      <c r="AE124" s="153">
        <f>AC124*AD124</f>
        <v>11590.7391</v>
      </c>
      <c r="AF124" s="154"/>
      <c r="AH124" s="147">
        <f t="shared" si="107"/>
        <v>13784.2</v>
      </c>
      <c r="AI124" s="186">
        <f t="shared" si="32"/>
        <v>8966.6221</v>
      </c>
      <c r="AJ124" s="187">
        <f t="shared" si="108"/>
        <v>4034</v>
      </c>
      <c r="AK124" s="186">
        <f t="shared" si="34"/>
        <v>2624.1169999999997</v>
      </c>
    </row>
    <row r="125" spans="1:37" s="115" customFormat="1" ht="12.75" customHeight="1">
      <c r="A125" s="127">
        <v>37926</v>
      </c>
      <c r="B125" s="122">
        <v>37946</v>
      </c>
      <c r="C125" s="250">
        <v>15378</v>
      </c>
      <c r="D125" s="192">
        <f>C125-C124</f>
        <v>1216.5</v>
      </c>
      <c r="E125" s="316" t="s">
        <v>68</v>
      </c>
      <c r="F125" s="57">
        <v>10000</v>
      </c>
      <c r="G125" s="58">
        <v>1105.6</v>
      </c>
      <c r="H125" s="59">
        <f t="shared" si="109"/>
        <v>291.4999999999999</v>
      </c>
      <c r="I125" s="58"/>
      <c r="J125" s="59"/>
      <c r="K125" s="58">
        <v>29952</v>
      </c>
      <c r="L125" s="59">
        <f t="shared" si="110"/>
        <v>6092.9</v>
      </c>
      <c r="M125" s="58"/>
      <c r="N125" s="59"/>
      <c r="O125" s="58">
        <v>8755</v>
      </c>
      <c r="P125" s="59">
        <f t="shared" si="111"/>
        <v>552</v>
      </c>
      <c r="Q125" s="58">
        <v>8348</v>
      </c>
      <c r="R125" s="59">
        <f t="shared" si="112"/>
        <v>529</v>
      </c>
      <c r="S125" s="58">
        <v>35085</v>
      </c>
      <c r="T125" s="59">
        <f t="shared" si="113"/>
        <v>1258</v>
      </c>
      <c r="U125" s="58">
        <v>1073</v>
      </c>
      <c r="V125" s="59">
        <f t="shared" si="105"/>
        <v>303</v>
      </c>
      <c r="W125" s="58">
        <v>59095</v>
      </c>
      <c r="X125" s="59">
        <f t="shared" si="114"/>
        <v>1055</v>
      </c>
      <c r="Y125" s="58">
        <v>8045</v>
      </c>
      <c r="Z125" s="59">
        <f t="shared" si="115"/>
        <v>464</v>
      </c>
      <c r="AA125" s="58">
        <v>26028</v>
      </c>
      <c r="AB125" s="59">
        <f t="shared" si="116"/>
        <v>1170</v>
      </c>
      <c r="AC125" s="59">
        <f t="shared" si="106"/>
        <v>22931.9</v>
      </c>
      <c r="AD125" s="145">
        <v>0.6505</v>
      </c>
      <c r="AE125" s="155">
        <f>AC125*AD125</f>
        <v>14917.20095</v>
      </c>
      <c r="AF125" s="151"/>
      <c r="AH125" s="147">
        <f t="shared" si="107"/>
        <v>17600.9</v>
      </c>
      <c r="AI125" s="186">
        <f t="shared" si="32"/>
        <v>11449.38545</v>
      </c>
      <c r="AJ125" s="187">
        <f t="shared" si="108"/>
        <v>5331</v>
      </c>
      <c r="AK125" s="186">
        <f t="shared" si="34"/>
        <v>3467.8154999999997</v>
      </c>
    </row>
    <row r="126" spans="1:37" s="54" customFormat="1" ht="13.5" thickBot="1">
      <c r="A126" s="127">
        <v>37956</v>
      </c>
      <c r="B126" s="114">
        <v>38348</v>
      </c>
      <c r="C126" s="68">
        <f>(C127-C125)/2+C125</f>
        <v>16728.385000000002</v>
      </c>
      <c r="D126" s="57">
        <f>D127</f>
        <v>1350.3850000000002</v>
      </c>
      <c r="E126" s="69" t="s">
        <v>68</v>
      </c>
      <c r="F126" s="61">
        <v>10000</v>
      </c>
      <c r="G126" s="58">
        <v>1360.2</v>
      </c>
      <c r="H126" s="59">
        <f t="shared" si="109"/>
        <v>254.60000000000014</v>
      </c>
      <c r="I126" s="60"/>
      <c r="J126" s="59"/>
      <c r="K126" s="60">
        <v>33957</v>
      </c>
      <c r="L126" s="59">
        <f t="shared" si="110"/>
        <v>5807.25</v>
      </c>
      <c r="M126" s="60"/>
      <c r="N126" s="59"/>
      <c r="O126" s="60">
        <v>9839</v>
      </c>
      <c r="P126" s="70">
        <f t="shared" si="111"/>
        <v>1084</v>
      </c>
      <c r="Q126" s="60">
        <v>9410</v>
      </c>
      <c r="R126" s="70">
        <f t="shared" si="112"/>
        <v>1062</v>
      </c>
      <c r="S126" s="60">
        <v>37461</v>
      </c>
      <c r="T126" s="70">
        <f t="shared" si="113"/>
        <v>2376</v>
      </c>
      <c r="U126" s="60">
        <v>1833</v>
      </c>
      <c r="V126" s="70">
        <f t="shared" si="105"/>
        <v>760</v>
      </c>
      <c r="W126" s="60">
        <v>61286</v>
      </c>
      <c r="X126" s="70">
        <f t="shared" si="114"/>
        <v>2191</v>
      </c>
      <c r="Y126" s="60">
        <v>9037</v>
      </c>
      <c r="Z126" s="70">
        <f t="shared" si="115"/>
        <v>992</v>
      </c>
      <c r="AA126" s="60">
        <v>28526</v>
      </c>
      <c r="AB126" s="70">
        <f t="shared" si="116"/>
        <v>2498</v>
      </c>
      <c r="AC126" s="70">
        <f t="shared" si="106"/>
        <v>28375.235</v>
      </c>
      <c r="AD126" s="135">
        <v>0.6505</v>
      </c>
      <c r="AE126" s="156">
        <f aca="true" t="shared" si="117" ref="AE126:AE132">AC126*AD126</f>
        <v>18458.0903675</v>
      </c>
      <c r="AF126" s="152">
        <f>SUM(AE124:AE126)</f>
        <v>44966.030417500006</v>
      </c>
      <c r="AH126" s="147">
        <f t="shared" si="107"/>
        <v>17412.235</v>
      </c>
      <c r="AI126" s="186">
        <f t="shared" si="32"/>
        <v>11326.6588675</v>
      </c>
      <c r="AJ126" s="187">
        <f t="shared" si="108"/>
        <v>10963</v>
      </c>
      <c r="AK126" s="186">
        <f t="shared" si="34"/>
        <v>7131.4315</v>
      </c>
    </row>
    <row r="127" spans="1:37" s="115" customFormat="1" ht="12.75" customHeight="1">
      <c r="A127" s="127">
        <v>37987</v>
      </c>
      <c r="B127" s="114">
        <v>38015</v>
      </c>
      <c r="C127" s="263">
        <v>18078.77</v>
      </c>
      <c r="D127" s="264">
        <f>(C127-C125)/2</f>
        <v>1350.3850000000002</v>
      </c>
      <c r="E127" s="263" t="s">
        <v>68</v>
      </c>
      <c r="F127" s="65">
        <v>10000</v>
      </c>
      <c r="G127" s="66">
        <v>1584.4</v>
      </c>
      <c r="H127" s="63">
        <f t="shared" si="109"/>
        <v>224.20000000000005</v>
      </c>
      <c r="I127" s="58"/>
      <c r="J127" s="63"/>
      <c r="K127" s="58">
        <v>37913</v>
      </c>
      <c r="L127" s="63">
        <f t="shared" si="110"/>
        <v>5736.2</v>
      </c>
      <c r="M127" s="58"/>
      <c r="N127" s="63"/>
      <c r="O127" s="66">
        <v>11300</v>
      </c>
      <c r="P127" s="63">
        <f t="shared" si="111"/>
        <v>1461</v>
      </c>
      <c r="Q127" s="66">
        <v>10613</v>
      </c>
      <c r="R127" s="63">
        <f t="shared" si="112"/>
        <v>1203</v>
      </c>
      <c r="S127" s="66">
        <v>40482</v>
      </c>
      <c r="T127" s="63">
        <f t="shared" si="113"/>
        <v>3021</v>
      </c>
      <c r="U127" s="66">
        <v>2790</v>
      </c>
      <c r="V127" s="63">
        <f t="shared" si="105"/>
        <v>957</v>
      </c>
      <c r="W127" s="66">
        <v>63888</v>
      </c>
      <c r="X127" s="63">
        <f t="shared" si="114"/>
        <v>2602</v>
      </c>
      <c r="Y127" s="66">
        <v>10230</v>
      </c>
      <c r="Z127" s="63">
        <f t="shared" si="115"/>
        <v>1193</v>
      </c>
      <c r="AA127" s="66">
        <v>31507</v>
      </c>
      <c r="AB127" s="63">
        <f t="shared" si="116"/>
        <v>2981</v>
      </c>
      <c r="AC127" s="63">
        <f t="shared" si="106"/>
        <v>30728.785</v>
      </c>
      <c r="AD127" s="143">
        <v>0.6505</v>
      </c>
      <c r="AE127" s="153">
        <f t="shared" si="117"/>
        <v>19989.0746425</v>
      </c>
      <c r="AF127" s="154"/>
      <c r="AH127" s="147">
        <f t="shared" si="107"/>
        <v>17310.785</v>
      </c>
      <c r="AI127" s="186">
        <f t="shared" si="32"/>
        <v>11260.6656425</v>
      </c>
      <c r="AJ127" s="187">
        <f t="shared" si="108"/>
        <v>13418</v>
      </c>
      <c r="AK127" s="186">
        <f t="shared" si="34"/>
        <v>8728.409</v>
      </c>
    </row>
    <row r="128" spans="1:37" s="54" customFormat="1" ht="12.75">
      <c r="A128" s="127">
        <v>38018</v>
      </c>
      <c r="B128" s="122">
        <v>38042</v>
      </c>
      <c r="C128" s="68">
        <f>(C129-C127)/2+C127</f>
        <v>19449.765</v>
      </c>
      <c r="D128" s="59">
        <f>(C128-C127)</f>
        <v>1370.994999999999</v>
      </c>
      <c r="E128" s="58" t="s">
        <v>68</v>
      </c>
      <c r="F128" s="57">
        <v>10000</v>
      </c>
      <c r="G128" s="58">
        <v>1833.9</v>
      </c>
      <c r="H128" s="59">
        <f t="shared" si="109"/>
        <v>249.5</v>
      </c>
      <c r="I128" s="58"/>
      <c r="J128" s="59"/>
      <c r="K128" s="58">
        <v>42068</v>
      </c>
      <c r="L128" s="59">
        <f t="shared" si="110"/>
        <v>6024.75</v>
      </c>
      <c r="M128" s="58"/>
      <c r="N128" s="59"/>
      <c r="O128" s="58">
        <v>12107</v>
      </c>
      <c r="P128" s="59">
        <f t="shared" si="111"/>
        <v>807</v>
      </c>
      <c r="Q128" s="58">
        <v>11543</v>
      </c>
      <c r="R128" s="59">
        <f t="shared" si="112"/>
        <v>930</v>
      </c>
      <c r="S128" s="58">
        <v>42782</v>
      </c>
      <c r="T128" s="59">
        <f t="shared" si="113"/>
        <v>2300</v>
      </c>
      <c r="U128" s="58">
        <v>3478</v>
      </c>
      <c r="V128" s="59">
        <f t="shared" si="105"/>
        <v>688</v>
      </c>
      <c r="W128" s="58">
        <v>65886</v>
      </c>
      <c r="X128" s="59">
        <f t="shared" si="114"/>
        <v>1998</v>
      </c>
      <c r="Y128" s="58">
        <v>11147</v>
      </c>
      <c r="Z128" s="59">
        <f t="shared" si="115"/>
        <v>917</v>
      </c>
      <c r="AA128" s="58">
        <v>33751</v>
      </c>
      <c r="AB128" s="59">
        <f t="shared" si="116"/>
        <v>2244</v>
      </c>
      <c r="AC128" s="59">
        <f t="shared" si="106"/>
        <v>27529.245</v>
      </c>
      <c r="AD128" s="145">
        <v>0.6505</v>
      </c>
      <c r="AE128" s="155">
        <f t="shared" si="117"/>
        <v>17907.773872499998</v>
      </c>
      <c r="AF128" s="151"/>
      <c r="AH128" s="147">
        <f t="shared" si="107"/>
        <v>17645.245</v>
      </c>
      <c r="AI128" s="186">
        <f t="shared" si="32"/>
        <v>11478.231872499999</v>
      </c>
      <c r="AJ128" s="187">
        <f t="shared" si="108"/>
        <v>9884</v>
      </c>
      <c r="AK128" s="186">
        <f t="shared" si="34"/>
        <v>6429.5419999999995</v>
      </c>
    </row>
    <row r="129" spans="1:37" s="115" customFormat="1" ht="13.5" thickBot="1">
      <c r="A129" s="127">
        <v>38047</v>
      </c>
      <c r="B129" s="122">
        <v>38069</v>
      </c>
      <c r="C129" s="250">
        <v>20820.76</v>
      </c>
      <c r="D129" s="192">
        <f>(C129-C128)</f>
        <v>1370.994999999999</v>
      </c>
      <c r="E129" s="191" t="s">
        <v>68</v>
      </c>
      <c r="F129" s="61">
        <v>8000</v>
      </c>
      <c r="G129" s="60">
        <v>2050.7</v>
      </c>
      <c r="H129" s="70">
        <f t="shared" si="109"/>
        <v>216.79999999999973</v>
      </c>
      <c r="I129" s="60"/>
      <c r="J129" s="59"/>
      <c r="K129" s="60">
        <v>46238</v>
      </c>
      <c r="L129" s="59">
        <f t="shared" si="110"/>
        <v>6046.5</v>
      </c>
      <c r="M129" s="60"/>
      <c r="N129" s="59"/>
      <c r="O129" s="60">
        <v>12870</v>
      </c>
      <c r="P129" s="70">
        <f t="shared" si="111"/>
        <v>763</v>
      </c>
      <c r="Q129" s="60">
        <v>12274</v>
      </c>
      <c r="R129" s="70">
        <f t="shared" si="112"/>
        <v>731</v>
      </c>
      <c r="S129" s="60">
        <v>44541</v>
      </c>
      <c r="T129" s="70">
        <f t="shared" si="113"/>
        <v>1759</v>
      </c>
      <c r="U129" s="60">
        <v>3980</v>
      </c>
      <c r="V129" s="70">
        <f t="shared" si="105"/>
        <v>502</v>
      </c>
      <c r="W129" s="60">
        <v>67443</v>
      </c>
      <c r="X129" s="70">
        <f t="shared" si="114"/>
        <v>1557</v>
      </c>
      <c r="Y129" s="60">
        <v>11865</v>
      </c>
      <c r="Z129" s="70">
        <f t="shared" si="115"/>
        <v>718</v>
      </c>
      <c r="AA129" s="60">
        <v>35511</v>
      </c>
      <c r="AB129" s="70">
        <f t="shared" si="116"/>
        <v>1760</v>
      </c>
      <c r="AC129" s="70">
        <f t="shared" si="106"/>
        <v>23424.295</v>
      </c>
      <c r="AD129" s="135">
        <v>0.6505</v>
      </c>
      <c r="AE129" s="156">
        <f t="shared" si="117"/>
        <v>15237.503897499999</v>
      </c>
      <c r="AF129" s="152">
        <f>SUM(AE127:AE129)</f>
        <v>53134.3524125</v>
      </c>
      <c r="AH129" s="147">
        <f t="shared" si="107"/>
        <v>15634.294999999998</v>
      </c>
      <c r="AI129" s="186">
        <f t="shared" si="32"/>
        <v>10170.108897499998</v>
      </c>
      <c r="AJ129" s="187">
        <f t="shared" si="108"/>
        <v>7790</v>
      </c>
      <c r="AK129" s="186">
        <f t="shared" si="34"/>
        <v>5067.3949999999995</v>
      </c>
    </row>
    <row r="130" spans="1:37" s="115" customFormat="1" ht="12.75" customHeight="1">
      <c r="A130" s="127">
        <v>38078</v>
      </c>
      <c r="B130" s="114">
        <v>38104</v>
      </c>
      <c r="C130" s="263">
        <v>22521</v>
      </c>
      <c r="D130" s="264">
        <f aca="true" t="shared" si="118" ref="D130:D147">(C130-C129)</f>
        <v>1700.2400000000016</v>
      </c>
      <c r="E130" s="263" t="s">
        <v>68</v>
      </c>
      <c r="F130" s="65">
        <v>1000</v>
      </c>
      <c r="G130" s="66">
        <v>2329.4</v>
      </c>
      <c r="H130" s="63">
        <f>G130-G129</f>
        <v>278.7000000000003</v>
      </c>
      <c r="I130" s="58"/>
      <c r="J130" s="63"/>
      <c r="K130" s="58">
        <v>51866</v>
      </c>
      <c r="L130" s="63">
        <f t="shared" si="110"/>
        <v>8160.599999999999</v>
      </c>
      <c r="M130" s="58"/>
      <c r="N130" s="63"/>
      <c r="O130" s="66">
        <v>13491</v>
      </c>
      <c r="P130" s="63">
        <f t="shared" si="111"/>
        <v>621</v>
      </c>
      <c r="Q130" s="66">
        <v>12857</v>
      </c>
      <c r="R130" s="63">
        <f>Q130-Q129</f>
        <v>583</v>
      </c>
      <c r="S130" s="66">
        <v>46032</v>
      </c>
      <c r="T130" s="63">
        <f>S130-S129</f>
        <v>1491</v>
      </c>
      <c r="U130" s="66">
        <v>4373</v>
      </c>
      <c r="V130" s="63">
        <f>U130-U129</f>
        <v>393</v>
      </c>
      <c r="W130" s="66">
        <v>68777</v>
      </c>
      <c r="X130" s="63">
        <f>W130-W129</f>
        <v>1334</v>
      </c>
      <c r="Y130" s="66">
        <v>12471</v>
      </c>
      <c r="Z130" s="63">
        <f>Y130-Y129</f>
        <v>606</v>
      </c>
      <c r="AA130" s="66">
        <v>37001</v>
      </c>
      <c r="AB130" s="63">
        <f>AA130-AA129</f>
        <v>1490</v>
      </c>
      <c r="AC130" s="63">
        <f t="shared" si="106"/>
        <v>17657.54</v>
      </c>
      <c r="AD130" s="143">
        <v>0.6505</v>
      </c>
      <c r="AE130" s="153">
        <f>AC130*AD130</f>
        <v>11486.22977</v>
      </c>
      <c r="AF130" s="154"/>
      <c r="AH130" s="147">
        <f t="shared" si="107"/>
        <v>11139.54</v>
      </c>
      <c r="AI130" s="186">
        <f aca="true" t="shared" si="119" ref="AI130:AI172">AH130*AD130</f>
        <v>7246.27077</v>
      </c>
      <c r="AJ130" s="187">
        <f t="shared" si="108"/>
        <v>6518</v>
      </c>
      <c r="AK130" s="186">
        <f aca="true" t="shared" si="120" ref="AK130:AK172">AJ130*AD130</f>
        <v>4239.959</v>
      </c>
    </row>
    <row r="131" spans="1:37" s="115" customFormat="1" ht="12.75">
      <c r="A131" s="127">
        <v>38108</v>
      </c>
      <c r="B131" s="116">
        <v>38133</v>
      </c>
      <c r="C131" s="250">
        <v>22850</v>
      </c>
      <c r="D131" s="192">
        <f t="shared" si="118"/>
        <v>329</v>
      </c>
      <c r="E131" s="250" t="s">
        <v>68</v>
      </c>
      <c r="F131" s="57">
        <v>1000</v>
      </c>
      <c r="G131" s="58">
        <v>2425</v>
      </c>
      <c r="H131" s="59">
        <f t="shared" si="109"/>
        <v>95.59999999999991</v>
      </c>
      <c r="I131" s="58"/>
      <c r="J131" s="59"/>
      <c r="K131" s="58">
        <v>53548</v>
      </c>
      <c r="L131" s="59">
        <f t="shared" si="110"/>
        <v>2438.9</v>
      </c>
      <c r="M131" s="58"/>
      <c r="N131" s="59"/>
      <c r="O131" s="58">
        <v>13746</v>
      </c>
      <c r="P131" s="59">
        <f t="shared" si="111"/>
        <v>255</v>
      </c>
      <c r="Q131" s="58">
        <v>13047</v>
      </c>
      <c r="R131" s="59">
        <f>Q131-Q130</f>
        <v>190</v>
      </c>
      <c r="S131" s="58">
        <v>46676</v>
      </c>
      <c r="T131" s="59">
        <f>S131-S130</f>
        <v>644</v>
      </c>
      <c r="U131" s="58">
        <v>4472</v>
      </c>
      <c r="V131" s="59">
        <f>U131-U130</f>
        <v>99</v>
      </c>
      <c r="W131" s="58">
        <v>69286</v>
      </c>
      <c r="X131" s="59">
        <f>W131-W130</f>
        <v>509</v>
      </c>
      <c r="Y131" s="58">
        <v>12671</v>
      </c>
      <c r="Z131" s="59">
        <f>Y131-Y130</f>
        <v>200</v>
      </c>
      <c r="AA131" s="58">
        <v>37549</v>
      </c>
      <c r="AB131" s="59">
        <f>AA131-AA130</f>
        <v>548</v>
      </c>
      <c r="AC131" s="106">
        <f t="shared" si="106"/>
        <v>6308.5</v>
      </c>
      <c r="AD131" s="145">
        <v>0.6505</v>
      </c>
      <c r="AE131" s="155">
        <f t="shared" si="117"/>
        <v>4103.67925</v>
      </c>
      <c r="AF131" s="151"/>
      <c r="AH131" s="147">
        <f t="shared" si="107"/>
        <v>3863.5</v>
      </c>
      <c r="AI131" s="186">
        <f t="shared" si="119"/>
        <v>2513.20675</v>
      </c>
      <c r="AJ131" s="187">
        <f t="shared" si="108"/>
        <v>2445</v>
      </c>
      <c r="AK131" s="186">
        <f t="shared" si="120"/>
        <v>1590.4724999999999</v>
      </c>
    </row>
    <row r="132" spans="1:37" s="115" customFormat="1" ht="13.5" thickBot="1">
      <c r="A132" s="127">
        <v>38139</v>
      </c>
      <c r="B132" s="116">
        <v>38161</v>
      </c>
      <c r="C132" s="191">
        <v>23104.5</v>
      </c>
      <c r="D132" s="194">
        <f t="shared" si="118"/>
        <v>254.5</v>
      </c>
      <c r="E132" s="191" t="s">
        <v>68</v>
      </c>
      <c r="F132" s="61">
        <v>1000</v>
      </c>
      <c r="G132" s="60">
        <v>2542.9</v>
      </c>
      <c r="H132" s="70">
        <f aca="true" t="shared" si="121" ref="H132:H143">G132-G131</f>
        <v>117.90000000000009</v>
      </c>
      <c r="I132" s="60"/>
      <c r="J132" s="59"/>
      <c r="K132" s="60">
        <v>55324</v>
      </c>
      <c r="L132" s="59">
        <f t="shared" si="110"/>
        <v>2575.2</v>
      </c>
      <c r="M132" s="60"/>
      <c r="N132" s="59"/>
      <c r="O132" s="60">
        <v>13987</v>
      </c>
      <c r="P132" s="70">
        <f t="shared" si="111"/>
        <v>241</v>
      </c>
      <c r="Q132" s="60">
        <v>13208</v>
      </c>
      <c r="R132" s="70">
        <f>Q132-Q131</f>
        <v>161</v>
      </c>
      <c r="S132" s="60">
        <v>47181</v>
      </c>
      <c r="T132" s="70">
        <f>S132-S131</f>
        <v>505</v>
      </c>
      <c r="U132" s="60">
        <v>4487</v>
      </c>
      <c r="V132" s="70">
        <f>U132-U131</f>
        <v>15</v>
      </c>
      <c r="W132" s="60">
        <v>69552</v>
      </c>
      <c r="X132" s="70">
        <f>W132-W131</f>
        <v>266</v>
      </c>
      <c r="Y132" s="60">
        <v>12778</v>
      </c>
      <c r="Z132" s="70">
        <f>Y132-Y131</f>
        <v>107</v>
      </c>
      <c r="AA132" s="60">
        <v>37862</v>
      </c>
      <c r="AB132" s="70">
        <f>AA132-AA131</f>
        <v>313</v>
      </c>
      <c r="AC132" s="81">
        <f t="shared" si="106"/>
        <v>5555.6</v>
      </c>
      <c r="AD132" s="135">
        <v>0.6505</v>
      </c>
      <c r="AE132" s="156">
        <f t="shared" si="117"/>
        <v>3613.9178</v>
      </c>
      <c r="AF132" s="152">
        <f>SUM(AE130:AE132)</f>
        <v>19203.82682</v>
      </c>
      <c r="AH132" s="147">
        <f t="shared" si="107"/>
        <v>3947.6</v>
      </c>
      <c r="AI132" s="186">
        <f t="shared" si="119"/>
        <v>2567.9138</v>
      </c>
      <c r="AJ132" s="187">
        <f t="shared" si="108"/>
        <v>1608</v>
      </c>
      <c r="AK132" s="186">
        <f t="shared" si="120"/>
        <v>1046.004</v>
      </c>
    </row>
    <row r="133" spans="1:37" s="115" customFormat="1" ht="12.75">
      <c r="A133" s="127">
        <v>38169</v>
      </c>
      <c r="B133" s="114">
        <v>38195</v>
      </c>
      <c r="C133" s="250">
        <v>23381</v>
      </c>
      <c r="D133" s="192">
        <f t="shared" si="118"/>
        <v>276.5</v>
      </c>
      <c r="E133" s="263" t="s">
        <v>68</v>
      </c>
      <c r="F133" s="65">
        <v>1000</v>
      </c>
      <c r="G133" s="66">
        <v>2658.5</v>
      </c>
      <c r="H133" s="63">
        <f t="shared" si="121"/>
        <v>115.59999999999991</v>
      </c>
      <c r="I133" s="58"/>
      <c r="J133" s="63"/>
      <c r="K133" s="58">
        <v>57869</v>
      </c>
      <c r="L133" s="63">
        <f t="shared" si="110"/>
        <v>3690.25</v>
      </c>
      <c r="M133" s="58"/>
      <c r="N133" s="63"/>
      <c r="O133" s="66">
        <v>14027</v>
      </c>
      <c r="P133" s="63">
        <f t="shared" si="111"/>
        <v>40</v>
      </c>
      <c r="Q133" s="66">
        <v>13400</v>
      </c>
      <c r="R133" s="63">
        <f aca="true" t="shared" si="122" ref="R133:R141">Q133-Q132</f>
        <v>192</v>
      </c>
      <c r="S133" s="66">
        <v>47518</v>
      </c>
      <c r="T133" s="63">
        <f aca="true" t="shared" si="123" ref="T133:T141">S133-S132</f>
        <v>337</v>
      </c>
      <c r="U133" s="66">
        <v>4503</v>
      </c>
      <c r="V133" s="63">
        <f aca="true" t="shared" si="124" ref="V133:V141">U133-U132</f>
        <v>16</v>
      </c>
      <c r="W133" s="66">
        <v>69782</v>
      </c>
      <c r="X133" s="63">
        <f aca="true" t="shared" si="125" ref="X133:X141">W133-W132</f>
        <v>230</v>
      </c>
      <c r="Y133" s="66">
        <v>12978</v>
      </c>
      <c r="Z133" s="63">
        <f aca="true" t="shared" si="126" ref="Z133:Z141">Y133-Y132</f>
        <v>200</v>
      </c>
      <c r="AA133" s="66">
        <v>38292</v>
      </c>
      <c r="AB133" s="63">
        <f aca="true" t="shared" si="127" ref="AB133:AB141">AA133-AA132</f>
        <v>430</v>
      </c>
      <c r="AC133" s="63">
        <f t="shared" si="106"/>
        <v>6527.35</v>
      </c>
      <c r="AD133" s="143">
        <v>0.612621359223301</v>
      </c>
      <c r="AE133" s="142">
        <v>2256.039417475728</v>
      </c>
      <c r="AF133" s="141"/>
      <c r="AH133" s="147">
        <f t="shared" si="107"/>
        <v>5082.35</v>
      </c>
      <c r="AI133" s="186">
        <f t="shared" si="119"/>
        <v>3113.556165048544</v>
      </c>
      <c r="AJ133" s="187">
        <f t="shared" si="108"/>
        <v>1445</v>
      </c>
      <c r="AK133" s="186">
        <f t="shared" si="120"/>
        <v>885.2378640776699</v>
      </c>
    </row>
    <row r="134" spans="1:37" s="115" customFormat="1" ht="12.75">
      <c r="A134" s="127">
        <v>38200</v>
      </c>
      <c r="B134" s="116">
        <v>38229</v>
      </c>
      <c r="C134" s="250">
        <v>23776.8</v>
      </c>
      <c r="D134" s="192">
        <f t="shared" si="118"/>
        <v>395.7999999999993</v>
      </c>
      <c r="E134" s="250" t="s">
        <v>68</v>
      </c>
      <c r="F134" s="57">
        <v>1000</v>
      </c>
      <c r="G134" s="58">
        <v>2762.4</v>
      </c>
      <c r="H134" s="59">
        <f t="shared" si="121"/>
        <v>103.90000000000009</v>
      </c>
      <c r="I134" s="58"/>
      <c r="J134" s="59"/>
      <c r="K134" s="58">
        <v>60058</v>
      </c>
      <c r="L134" s="59">
        <f t="shared" si="110"/>
        <v>3174.0499999999997</v>
      </c>
      <c r="M134" s="58"/>
      <c r="N134" s="59"/>
      <c r="O134" s="58">
        <v>14148</v>
      </c>
      <c r="P134" s="59">
        <f t="shared" si="111"/>
        <v>121</v>
      </c>
      <c r="Q134" s="58">
        <v>13528</v>
      </c>
      <c r="R134" s="59">
        <f t="shared" si="122"/>
        <v>128</v>
      </c>
      <c r="S134" s="58">
        <v>47871</v>
      </c>
      <c r="T134" s="59">
        <f t="shared" si="123"/>
        <v>353</v>
      </c>
      <c r="U134" s="58">
        <v>4529</v>
      </c>
      <c r="V134" s="59">
        <f t="shared" si="124"/>
        <v>26</v>
      </c>
      <c r="W134" s="58">
        <v>70038</v>
      </c>
      <c r="X134" s="59">
        <f t="shared" si="125"/>
        <v>256</v>
      </c>
      <c r="Y134" s="58">
        <v>12978</v>
      </c>
      <c r="Z134" s="59">
        <f t="shared" si="126"/>
        <v>0</v>
      </c>
      <c r="AA134" s="58">
        <v>38515</v>
      </c>
      <c r="AB134" s="59">
        <f t="shared" si="127"/>
        <v>223</v>
      </c>
      <c r="AC134" s="140">
        <f t="shared" si="106"/>
        <v>5780.749999999999</v>
      </c>
      <c r="AD134" s="145">
        <v>0.612621359223301</v>
      </c>
      <c r="AE134" s="157">
        <f>AC134*AD134</f>
        <v>3541.4109223300966</v>
      </c>
      <c r="AF134" s="158"/>
      <c r="AH134" s="147">
        <f t="shared" si="107"/>
        <v>4673.749999999999</v>
      </c>
      <c r="AI134" s="186">
        <f t="shared" si="119"/>
        <v>2863.239077669902</v>
      </c>
      <c r="AJ134" s="187">
        <f t="shared" si="108"/>
        <v>1107</v>
      </c>
      <c r="AK134" s="186">
        <f t="shared" si="120"/>
        <v>678.1718446601942</v>
      </c>
    </row>
    <row r="135" spans="1:37" s="115" customFormat="1" ht="13.5" thickBot="1">
      <c r="A135" s="127">
        <v>38231</v>
      </c>
      <c r="B135" s="116">
        <v>38257</v>
      </c>
      <c r="C135" s="250">
        <v>24707.8</v>
      </c>
      <c r="D135" s="192">
        <f t="shared" si="118"/>
        <v>931</v>
      </c>
      <c r="E135" s="191" t="s">
        <v>68</v>
      </c>
      <c r="F135" s="61">
        <v>1000</v>
      </c>
      <c r="G135" s="60">
        <v>3032</v>
      </c>
      <c r="H135" s="70">
        <f t="shared" si="121"/>
        <v>269.5999999999999</v>
      </c>
      <c r="I135" s="60"/>
      <c r="J135" s="59"/>
      <c r="K135" s="60">
        <v>63478</v>
      </c>
      <c r="L135" s="59">
        <f t="shared" si="110"/>
        <v>4959</v>
      </c>
      <c r="M135" s="60"/>
      <c r="N135" s="59"/>
      <c r="O135" s="60">
        <v>14371</v>
      </c>
      <c r="P135" s="70">
        <f t="shared" si="111"/>
        <v>223</v>
      </c>
      <c r="Q135" s="60">
        <v>13801</v>
      </c>
      <c r="R135" s="70">
        <f t="shared" si="122"/>
        <v>273</v>
      </c>
      <c r="S135" s="60">
        <v>48475</v>
      </c>
      <c r="T135" s="70">
        <f t="shared" si="123"/>
        <v>604</v>
      </c>
      <c r="U135" s="60">
        <v>4532</v>
      </c>
      <c r="V135" s="70">
        <f t="shared" si="124"/>
        <v>3</v>
      </c>
      <c r="W135" s="60">
        <v>70535</v>
      </c>
      <c r="X135" s="70">
        <f t="shared" si="125"/>
        <v>497</v>
      </c>
      <c r="Y135" s="60">
        <v>13182</v>
      </c>
      <c r="Z135" s="70">
        <f t="shared" si="126"/>
        <v>204</v>
      </c>
      <c r="AA135" s="60">
        <v>39170</v>
      </c>
      <c r="AB135" s="70">
        <f t="shared" si="127"/>
        <v>655</v>
      </c>
      <c r="AC135" s="134">
        <f t="shared" si="106"/>
        <v>9618.6</v>
      </c>
      <c r="AD135" s="135">
        <v>0.612621359223301</v>
      </c>
      <c r="AE135" s="136">
        <f>AC135*AD135</f>
        <v>5892.559805825243</v>
      </c>
      <c r="AF135" s="137">
        <f>SUM(AE133:AE135)</f>
        <v>11690.010145631066</v>
      </c>
      <c r="AH135" s="147">
        <f t="shared" si="107"/>
        <v>7159.6</v>
      </c>
      <c r="AI135" s="186">
        <f t="shared" si="119"/>
        <v>4386.1238834951455</v>
      </c>
      <c r="AJ135" s="187">
        <f t="shared" si="108"/>
        <v>2459</v>
      </c>
      <c r="AK135" s="186">
        <f t="shared" si="120"/>
        <v>1506.4359223300971</v>
      </c>
    </row>
    <row r="136" spans="1:37" s="115" customFormat="1" ht="12.75">
      <c r="A136" s="127">
        <v>38261</v>
      </c>
      <c r="B136" s="116">
        <v>38288</v>
      </c>
      <c r="C136" s="263">
        <v>25964</v>
      </c>
      <c r="D136" s="264">
        <f t="shared" si="118"/>
        <v>1256.2000000000007</v>
      </c>
      <c r="E136" s="263" t="s">
        <v>68</v>
      </c>
      <c r="F136" s="65">
        <v>1000</v>
      </c>
      <c r="G136" s="64">
        <v>3367.8</v>
      </c>
      <c r="H136" s="63">
        <f t="shared" si="121"/>
        <v>335.8000000000002</v>
      </c>
      <c r="I136" s="58"/>
      <c r="J136" s="63"/>
      <c r="K136" s="58">
        <v>67770</v>
      </c>
      <c r="L136" s="63">
        <f t="shared" si="110"/>
        <v>6223.4</v>
      </c>
      <c r="M136" s="58"/>
      <c r="N136" s="63"/>
      <c r="O136" s="66">
        <v>14743</v>
      </c>
      <c r="P136" s="63">
        <f t="shared" si="111"/>
        <v>372</v>
      </c>
      <c r="Q136" s="66">
        <v>14110</v>
      </c>
      <c r="R136" s="63">
        <f t="shared" si="122"/>
        <v>309</v>
      </c>
      <c r="S136" s="66">
        <v>49367</v>
      </c>
      <c r="T136" s="63">
        <f t="shared" si="123"/>
        <v>892</v>
      </c>
      <c r="U136" s="66">
        <v>4686</v>
      </c>
      <c r="V136" s="63">
        <f t="shared" si="124"/>
        <v>154</v>
      </c>
      <c r="W136" s="66">
        <v>71308</v>
      </c>
      <c r="X136" s="63">
        <f t="shared" si="125"/>
        <v>773</v>
      </c>
      <c r="Y136" s="66">
        <v>13563</v>
      </c>
      <c r="Z136" s="63">
        <f t="shared" si="126"/>
        <v>381</v>
      </c>
      <c r="AA136" s="66">
        <v>40140</v>
      </c>
      <c r="AB136" s="63">
        <f t="shared" si="127"/>
        <v>970</v>
      </c>
      <c r="AC136" s="63">
        <f t="shared" si="106"/>
        <v>12666.400000000001</v>
      </c>
      <c r="AD136" s="143">
        <v>0.612621359223301</v>
      </c>
      <c r="AE136" s="142">
        <v>2257.03941747573</v>
      </c>
      <c r="AF136" s="141"/>
      <c r="AH136" s="147">
        <f t="shared" si="107"/>
        <v>8815.400000000001</v>
      </c>
      <c r="AI136" s="186">
        <f t="shared" si="119"/>
        <v>5400.502330097088</v>
      </c>
      <c r="AJ136" s="187">
        <f t="shared" si="108"/>
        <v>3851</v>
      </c>
      <c r="AK136" s="186">
        <f t="shared" si="120"/>
        <v>2359.204854368932</v>
      </c>
    </row>
    <row r="137" spans="1:37" s="115" customFormat="1" ht="12.75">
      <c r="A137" s="127">
        <v>38292</v>
      </c>
      <c r="B137" s="116">
        <v>38320</v>
      </c>
      <c r="C137" s="250">
        <v>27288.4</v>
      </c>
      <c r="D137" s="192">
        <f t="shared" si="118"/>
        <v>1324.4000000000015</v>
      </c>
      <c r="E137" s="250" t="s">
        <v>68</v>
      </c>
      <c r="F137" s="57">
        <v>1000</v>
      </c>
      <c r="G137" s="67">
        <v>3704.8</v>
      </c>
      <c r="H137" s="59">
        <f t="shared" si="121"/>
        <v>337</v>
      </c>
      <c r="I137" s="58"/>
      <c r="J137" s="59"/>
      <c r="K137" s="58">
        <v>71781</v>
      </c>
      <c r="L137" s="59">
        <f t="shared" si="110"/>
        <v>5815.95</v>
      </c>
      <c r="M137" s="58"/>
      <c r="N137" s="59"/>
      <c r="O137" s="68">
        <f>(O138-O136)*0.4+O136</f>
        <v>15400.2</v>
      </c>
      <c r="P137" s="59">
        <f t="shared" si="111"/>
        <v>657.2000000000007</v>
      </c>
      <c r="Q137" s="68">
        <f>(Q138-Q136)*0.4+Q136</f>
        <v>14705.2</v>
      </c>
      <c r="R137" s="59">
        <f t="shared" si="122"/>
        <v>595.2000000000007</v>
      </c>
      <c r="S137" s="68">
        <f>(S138-S136)*0.4+S136</f>
        <v>51047.4</v>
      </c>
      <c r="T137" s="59">
        <f t="shared" si="123"/>
        <v>1680.4000000000015</v>
      </c>
      <c r="U137" s="68">
        <f>(U138-U136)*0.4+U136</f>
        <v>5168.4</v>
      </c>
      <c r="V137" s="59">
        <f t="shared" si="124"/>
        <v>482.39999999999964</v>
      </c>
      <c r="W137" s="68">
        <f>(W138-W136)*0.4+W136</f>
        <v>72756.8</v>
      </c>
      <c r="X137" s="59">
        <f t="shared" si="125"/>
        <v>1448.800000000003</v>
      </c>
      <c r="Y137" s="68">
        <f>(Y138-Y136)*0.4+Y136</f>
        <v>14254.2</v>
      </c>
      <c r="Z137" s="59">
        <f t="shared" si="126"/>
        <v>691.2000000000007</v>
      </c>
      <c r="AA137" s="68">
        <f>(AA138-AA136)*0.4+AA136</f>
        <v>41784.8</v>
      </c>
      <c r="AB137" s="59">
        <f t="shared" si="127"/>
        <v>1644.800000000003</v>
      </c>
      <c r="AC137" s="140">
        <f t="shared" si="106"/>
        <v>15677.350000000011</v>
      </c>
      <c r="AD137" s="145">
        <v>0.612621359223301</v>
      </c>
      <c r="AE137" s="157">
        <f>AC137*AD137</f>
        <v>9604.279466019425</v>
      </c>
      <c r="AF137" s="158"/>
      <c r="AH137" s="147">
        <f t="shared" si="107"/>
        <v>8477.350000000002</v>
      </c>
      <c r="AI137" s="186">
        <f t="shared" si="119"/>
        <v>5193.405679611652</v>
      </c>
      <c r="AJ137" s="187">
        <f t="shared" si="108"/>
        <v>7200.000000000009</v>
      </c>
      <c r="AK137" s="186">
        <f t="shared" si="120"/>
        <v>4410.873786407773</v>
      </c>
    </row>
    <row r="138" spans="1:37" s="115" customFormat="1" ht="13.5" thickBot="1">
      <c r="A138" s="127">
        <v>38322</v>
      </c>
      <c r="B138" s="116">
        <v>38355</v>
      </c>
      <c r="C138" s="191">
        <v>28382</v>
      </c>
      <c r="D138" s="194">
        <f t="shared" si="118"/>
        <v>1093.5999999999985</v>
      </c>
      <c r="E138" s="191" t="s">
        <v>68</v>
      </c>
      <c r="F138" s="61">
        <v>1000</v>
      </c>
      <c r="G138" s="69">
        <v>3896.2</v>
      </c>
      <c r="H138" s="70">
        <f t="shared" si="121"/>
        <v>191.39999999999964</v>
      </c>
      <c r="I138" s="60"/>
      <c r="J138" s="59"/>
      <c r="K138" s="60">
        <v>74871</v>
      </c>
      <c r="L138" s="59">
        <f t="shared" si="110"/>
        <v>4480.5</v>
      </c>
      <c r="M138" s="60"/>
      <c r="N138" s="59"/>
      <c r="O138" s="60">
        <v>16386</v>
      </c>
      <c r="P138" s="70">
        <f t="shared" si="111"/>
        <v>985.7999999999993</v>
      </c>
      <c r="Q138" s="60">
        <v>15598</v>
      </c>
      <c r="R138" s="70">
        <f t="shared" si="122"/>
        <v>892.7999999999993</v>
      </c>
      <c r="S138" s="60">
        <v>53568</v>
      </c>
      <c r="T138" s="70">
        <f t="shared" si="123"/>
        <v>2520.5999999999985</v>
      </c>
      <c r="U138" s="60">
        <v>5892</v>
      </c>
      <c r="V138" s="70">
        <f t="shared" si="124"/>
        <v>723.6000000000004</v>
      </c>
      <c r="W138" s="60">
        <v>74930</v>
      </c>
      <c r="X138" s="70">
        <f t="shared" si="125"/>
        <v>2173.199999999997</v>
      </c>
      <c r="Y138" s="60">
        <v>15291</v>
      </c>
      <c r="Z138" s="70">
        <f t="shared" si="126"/>
        <v>1036.7999999999993</v>
      </c>
      <c r="AA138" s="60">
        <v>44252</v>
      </c>
      <c r="AB138" s="70">
        <f t="shared" si="127"/>
        <v>2467.199999999997</v>
      </c>
      <c r="AC138" s="134">
        <f t="shared" si="106"/>
        <v>17565.49999999999</v>
      </c>
      <c r="AD138" s="135">
        <v>0.612621359223301</v>
      </c>
      <c r="AE138" s="136">
        <f>AC138*AD138</f>
        <v>10761.000485436887</v>
      </c>
      <c r="AF138" s="137">
        <f>SUM(AE136:AE138)</f>
        <v>22622.31936893204</v>
      </c>
      <c r="AH138" s="147">
        <f t="shared" si="107"/>
        <v>6765.499999999998</v>
      </c>
      <c r="AI138" s="186">
        <f t="shared" si="119"/>
        <v>4144.689805825242</v>
      </c>
      <c r="AJ138" s="187">
        <f t="shared" si="108"/>
        <v>10799.99999999999</v>
      </c>
      <c r="AK138" s="186">
        <f t="shared" si="120"/>
        <v>6616.310679611644</v>
      </c>
    </row>
    <row r="139" spans="1:37" s="54" customFormat="1" ht="12.75">
      <c r="A139" s="127">
        <v>38353</v>
      </c>
      <c r="B139" s="114">
        <v>38384</v>
      </c>
      <c r="C139" s="263">
        <v>29799.6</v>
      </c>
      <c r="D139" s="264">
        <f t="shared" si="118"/>
        <v>1417.5999999999985</v>
      </c>
      <c r="E139" s="263" t="s">
        <v>68</v>
      </c>
      <c r="F139" s="65">
        <v>1000</v>
      </c>
      <c r="G139" s="66">
        <v>4117.5</v>
      </c>
      <c r="H139" s="63">
        <f t="shared" si="121"/>
        <v>221.30000000000018</v>
      </c>
      <c r="I139" s="58"/>
      <c r="J139" s="63"/>
      <c r="K139" s="58">
        <v>78934</v>
      </c>
      <c r="L139" s="63">
        <f t="shared" si="110"/>
        <v>5891.349999999999</v>
      </c>
      <c r="M139" s="58"/>
      <c r="N139" s="63"/>
      <c r="O139" s="66">
        <v>17454</v>
      </c>
      <c r="P139" s="63">
        <f t="shared" si="111"/>
        <v>1068</v>
      </c>
      <c r="Q139" s="66">
        <v>16637</v>
      </c>
      <c r="R139" s="63">
        <f t="shared" si="122"/>
        <v>1039</v>
      </c>
      <c r="S139" s="66">
        <v>56387</v>
      </c>
      <c r="T139" s="63">
        <f t="shared" si="123"/>
        <v>2819</v>
      </c>
      <c r="U139" s="66">
        <v>6739</v>
      </c>
      <c r="V139" s="63">
        <f t="shared" si="124"/>
        <v>847</v>
      </c>
      <c r="W139" s="66">
        <v>77266</v>
      </c>
      <c r="X139" s="63">
        <f t="shared" si="125"/>
        <v>2336</v>
      </c>
      <c r="Y139" s="66">
        <v>16376</v>
      </c>
      <c r="Z139" s="63">
        <f t="shared" si="126"/>
        <v>1085</v>
      </c>
      <c r="AA139" s="66">
        <v>46913</v>
      </c>
      <c r="AB139" s="63">
        <f t="shared" si="127"/>
        <v>2661</v>
      </c>
      <c r="AC139" s="63">
        <f t="shared" si="106"/>
        <v>20385.25</v>
      </c>
      <c r="AD139" s="143">
        <v>0.612621359223301</v>
      </c>
      <c r="AE139" s="142">
        <v>2258.03941747573</v>
      </c>
      <c r="AF139" s="141"/>
      <c r="AH139" s="147">
        <f t="shared" si="107"/>
        <v>8530.249999999998</v>
      </c>
      <c r="AI139" s="186">
        <f t="shared" si="119"/>
        <v>5225.813349514562</v>
      </c>
      <c r="AJ139" s="187">
        <f t="shared" si="108"/>
        <v>11855</v>
      </c>
      <c r="AK139" s="186">
        <f t="shared" si="120"/>
        <v>7262.626213592233</v>
      </c>
    </row>
    <row r="140" spans="1:37" s="54" customFormat="1" ht="12.75">
      <c r="A140" s="127">
        <v>38384</v>
      </c>
      <c r="B140" s="122">
        <v>38411</v>
      </c>
      <c r="C140" s="250">
        <v>31380.55</v>
      </c>
      <c r="D140" s="192">
        <f t="shared" si="118"/>
        <v>1580.9500000000007</v>
      </c>
      <c r="E140" s="250" t="s">
        <v>68</v>
      </c>
      <c r="F140" s="57">
        <v>1000</v>
      </c>
      <c r="G140" s="58">
        <v>4355.2</v>
      </c>
      <c r="H140" s="59">
        <f t="shared" si="121"/>
        <v>237.69999999999982</v>
      </c>
      <c r="I140" s="58"/>
      <c r="J140" s="59"/>
      <c r="K140" s="58">
        <v>82944</v>
      </c>
      <c r="L140" s="59">
        <f t="shared" si="110"/>
        <v>5814.5</v>
      </c>
      <c r="M140" s="58"/>
      <c r="N140" s="59"/>
      <c r="O140" s="68">
        <f>O139+(O141-O139)*0.55</f>
        <v>18322.45</v>
      </c>
      <c r="P140" s="57">
        <f t="shared" si="111"/>
        <v>868.4500000000007</v>
      </c>
      <c r="Q140" s="68">
        <f>Q139+(Q141-Q139)*0.55</f>
        <v>17392.15</v>
      </c>
      <c r="R140" s="57">
        <f t="shared" si="122"/>
        <v>755.1500000000015</v>
      </c>
      <c r="S140" s="68">
        <f>S139+(S141-S139)*0.55</f>
        <v>58478.65</v>
      </c>
      <c r="T140" s="57">
        <f t="shared" si="123"/>
        <v>2091.6500000000015</v>
      </c>
      <c r="U140" s="68">
        <f>U139+(U141-U139)*0.55</f>
        <v>7347.85</v>
      </c>
      <c r="V140" s="57">
        <f t="shared" si="124"/>
        <v>608.8500000000004</v>
      </c>
      <c r="W140" s="68">
        <f>W139+(W141-W139)*0.55</f>
        <v>79017.2</v>
      </c>
      <c r="X140" s="57">
        <f t="shared" si="125"/>
        <v>1751.199999999997</v>
      </c>
      <c r="Y140" s="68">
        <f>Y139+(Y141-Y139)*0.55</f>
        <v>17201.55</v>
      </c>
      <c r="Z140" s="57">
        <f t="shared" si="126"/>
        <v>825.5499999999993</v>
      </c>
      <c r="AA140" s="68">
        <f>AA139+(AA141-AA139)*0.55</f>
        <v>48890.25</v>
      </c>
      <c r="AB140" s="57">
        <f t="shared" si="127"/>
        <v>1977.25</v>
      </c>
      <c r="AC140" s="140">
        <f t="shared" si="106"/>
        <v>17511.25</v>
      </c>
      <c r="AD140" s="145">
        <v>0.612621359223301</v>
      </c>
      <c r="AE140" s="157">
        <f>AC140*AD140</f>
        <v>10727.765776699029</v>
      </c>
      <c r="AF140" s="158"/>
      <c r="AH140" s="147">
        <f t="shared" si="107"/>
        <v>8633.150000000001</v>
      </c>
      <c r="AI140" s="186">
        <f t="shared" si="119"/>
        <v>5288.852087378642</v>
      </c>
      <c r="AJ140" s="187">
        <f t="shared" si="108"/>
        <v>8878.1</v>
      </c>
      <c r="AK140" s="186">
        <f t="shared" si="120"/>
        <v>5438.913689320389</v>
      </c>
    </row>
    <row r="141" spans="1:37" s="54" customFormat="1" ht="13.5" thickBot="1">
      <c r="A141" s="127">
        <v>38412</v>
      </c>
      <c r="B141" s="122">
        <v>38433</v>
      </c>
      <c r="C141" s="191">
        <v>32411.72</v>
      </c>
      <c r="D141" s="194">
        <f t="shared" si="118"/>
        <v>1031.170000000002</v>
      </c>
      <c r="E141" s="250" t="s">
        <v>68</v>
      </c>
      <c r="F141" s="57">
        <v>1000</v>
      </c>
      <c r="G141" s="60">
        <v>4491.2</v>
      </c>
      <c r="H141" s="70">
        <f t="shared" si="121"/>
        <v>136</v>
      </c>
      <c r="I141" s="60"/>
      <c r="J141" s="59"/>
      <c r="K141" s="60">
        <v>85377</v>
      </c>
      <c r="L141" s="59">
        <f t="shared" si="110"/>
        <v>3527.85</v>
      </c>
      <c r="M141" s="60"/>
      <c r="N141" s="59"/>
      <c r="O141" s="60">
        <v>19033</v>
      </c>
      <c r="P141" s="70">
        <f t="shared" si="111"/>
        <v>710.5499999999993</v>
      </c>
      <c r="Q141" s="60">
        <v>18010</v>
      </c>
      <c r="R141" s="70">
        <f t="shared" si="122"/>
        <v>617.8499999999985</v>
      </c>
      <c r="S141" s="60">
        <v>60190</v>
      </c>
      <c r="T141" s="70">
        <f t="shared" si="123"/>
        <v>1711.3499999999985</v>
      </c>
      <c r="U141" s="60">
        <v>7846</v>
      </c>
      <c r="V141" s="70">
        <f t="shared" si="124"/>
        <v>498.14999999999964</v>
      </c>
      <c r="W141" s="60">
        <v>80450</v>
      </c>
      <c r="X141" s="70">
        <f t="shared" si="125"/>
        <v>1432.800000000003</v>
      </c>
      <c r="Y141" s="60">
        <v>17877</v>
      </c>
      <c r="Z141" s="70">
        <f t="shared" si="126"/>
        <v>675.4500000000007</v>
      </c>
      <c r="AA141" s="60">
        <v>50508</v>
      </c>
      <c r="AB141" s="70">
        <f t="shared" si="127"/>
        <v>1617.75</v>
      </c>
      <c r="AC141" s="134">
        <f t="shared" si="106"/>
        <v>12958.920000000002</v>
      </c>
      <c r="AD141" s="135">
        <v>0.612621359223301</v>
      </c>
      <c r="AE141" s="136">
        <f>AC141*AD141</f>
        <v>7938.91118446602</v>
      </c>
      <c r="AF141" s="137">
        <f>SUM(AE139:AE141)</f>
        <v>20924.716378640776</v>
      </c>
      <c r="AH141" s="147">
        <f t="shared" si="107"/>
        <v>5695.020000000002</v>
      </c>
      <c r="AI141" s="186">
        <f t="shared" si="119"/>
        <v>3488.890893203885</v>
      </c>
      <c r="AJ141" s="187">
        <f t="shared" si="108"/>
        <v>7263.9</v>
      </c>
      <c r="AK141" s="186">
        <f t="shared" si="120"/>
        <v>4450.020291262135</v>
      </c>
    </row>
    <row r="142" spans="1:37" s="54" customFormat="1" ht="12.75">
      <c r="A142" s="127">
        <v>38443</v>
      </c>
      <c r="B142" s="116">
        <v>38468</v>
      </c>
      <c r="C142" s="263">
        <v>34247.8</v>
      </c>
      <c r="D142" s="264">
        <f t="shared" si="118"/>
        <v>1836.0800000000017</v>
      </c>
      <c r="E142" s="263" t="s">
        <v>68</v>
      </c>
      <c r="F142" s="65">
        <v>1000</v>
      </c>
      <c r="G142" s="64">
        <v>4802.9</v>
      </c>
      <c r="H142" s="63">
        <f t="shared" si="121"/>
        <v>311.6999999999998</v>
      </c>
      <c r="I142" s="58"/>
      <c r="J142" s="63"/>
      <c r="K142" s="58">
        <v>90691</v>
      </c>
      <c r="L142" s="63">
        <f t="shared" si="110"/>
        <v>7705.3</v>
      </c>
      <c r="M142" s="58"/>
      <c r="N142" s="63"/>
      <c r="O142" s="58">
        <v>19714</v>
      </c>
      <c r="P142" s="63">
        <f t="shared" si="111"/>
        <v>681</v>
      </c>
      <c r="Q142" s="58">
        <v>18634</v>
      </c>
      <c r="R142" s="59">
        <f>IF(Q142="",0,(Q142-Q141))</f>
        <v>624</v>
      </c>
      <c r="S142" s="58">
        <v>61839</v>
      </c>
      <c r="T142" s="59">
        <f>IF(S142="",0,(S142-S141))</f>
        <v>1649</v>
      </c>
      <c r="U142" s="58">
        <v>8176</v>
      </c>
      <c r="V142" s="59">
        <f>IF(U142="",0,(U142-U141))</f>
        <v>330</v>
      </c>
      <c r="W142" s="58">
        <v>81731</v>
      </c>
      <c r="X142" s="59">
        <f>IF(W142="",0,(W142-W141))</f>
        <v>1281</v>
      </c>
      <c r="Y142" s="58">
        <v>18532</v>
      </c>
      <c r="Z142" s="59">
        <f>IF(Y142="",0,(Y142-Y141))</f>
        <v>655</v>
      </c>
      <c r="AA142" s="58">
        <v>52073</v>
      </c>
      <c r="AB142" s="59">
        <f>IF(AA142="",0,(AA142-AA141))</f>
        <v>1565</v>
      </c>
      <c r="AC142" s="63">
        <f t="shared" si="106"/>
        <v>17638.08</v>
      </c>
      <c r="AD142" s="143">
        <v>0.612621359223301</v>
      </c>
      <c r="AE142" s="142">
        <v>2259.03941747573</v>
      </c>
      <c r="AF142" s="132"/>
      <c r="AH142" s="147">
        <f t="shared" si="107"/>
        <v>10853.080000000002</v>
      </c>
      <c r="AI142" s="186">
        <f t="shared" si="119"/>
        <v>6648.828621359225</v>
      </c>
      <c r="AJ142" s="187">
        <f t="shared" si="108"/>
        <v>6785</v>
      </c>
      <c r="AK142" s="186">
        <f t="shared" si="120"/>
        <v>4156.635922330097</v>
      </c>
    </row>
    <row r="143" spans="1:37" s="54" customFormat="1" ht="12.75">
      <c r="A143" s="127">
        <v>38473</v>
      </c>
      <c r="B143" s="116">
        <v>38498</v>
      </c>
      <c r="C143" s="250">
        <v>34726.7</v>
      </c>
      <c r="D143" s="192">
        <f t="shared" si="118"/>
        <v>478.8999999999942</v>
      </c>
      <c r="E143" s="250" t="s">
        <v>68</v>
      </c>
      <c r="F143" s="57">
        <v>1000</v>
      </c>
      <c r="G143" s="67">
        <v>4910</v>
      </c>
      <c r="H143" s="59">
        <f t="shared" si="121"/>
        <v>107.10000000000036</v>
      </c>
      <c r="I143" s="58"/>
      <c r="J143" s="59"/>
      <c r="K143" s="58">
        <v>92021</v>
      </c>
      <c r="L143" s="59">
        <f t="shared" si="110"/>
        <v>1928.5</v>
      </c>
      <c r="M143" s="58"/>
      <c r="N143" s="59"/>
      <c r="O143" s="58">
        <v>20055</v>
      </c>
      <c r="P143" s="59">
        <f t="shared" si="111"/>
        <v>341</v>
      </c>
      <c r="Q143" s="58">
        <v>18929</v>
      </c>
      <c r="R143" s="59">
        <f>IF(Q143="",0,(Q143-Q142))</f>
        <v>295</v>
      </c>
      <c r="S143" s="58">
        <v>62847</v>
      </c>
      <c r="T143" s="59">
        <f>IF(S143="",0,(S143-S142))</f>
        <v>1008</v>
      </c>
      <c r="U143" s="58">
        <v>8288</v>
      </c>
      <c r="V143" s="59">
        <f>IF(U143="",0,(U143-U142))</f>
        <v>112</v>
      </c>
      <c r="W143" s="58">
        <v>82518</v>
      </c>
      <c r="X143" s="59">
        <f>IF(W143="",0,(W143-W142))</f>
        <v>787</v>
      </c>
      <c r="Y143" s="58">
        <v>18745</v>
      </c>
      <c r="Z143" s="59">
        <f>IF(Y143="",0,(Y143-Y142))</f>
        <v>213</v>
      </c>
      <c r="AA143" s="58">
        <v>52907</v>
      </c>
      <c r="AB143" s="59">
        <f>IF(AA143="",0,(AA143-AA142))</f>
        <v>834</v>
      </c>
      <c r="AC143" s="140">
        <f t="shared" si="106"/>
        <v>7104.4999999999945</v>
      </c>
      <c r="AD143" s="145">
        <v>0.612621359223301</v>
      </c>
      <c r="AE143" s="157">
        <f>AC143*AD143</f>
        <v>4352.368446601939</v>
      </c>
      <c r="AF143" s="133"/>
      <c r="AH143" s="147">
        <f t="shared" si="107"/>
        <v>3514.4999999999945</v>
      </c>
      <c r="AI143" s="186">
        <f t="shared" si="119"/>
        <v>2153.0577669902877</v>
      </c>
      <c r="AJ143" s="187">
        <f t="shared" si="108"/>
        <v>3590</v>
      </c>
      <c r="AK143" s="186">
        <f t="shared" si="120"/>
        <v>2199.3106796116504</v>
      </c>
    </row>
    <row r="144" spans="1:37" s="115" customFormat="1" ht="13.5" thickBot="1">
      <c r="A144" s="127">
        <v>38504</v>
      </c>
      <c r="B144" s="116">
        <v>38530</v>
      </c>
      <c r="C144" s="191">
        <v>34934</v>
      </c>
      <c r="D144" s="194">
        <f t="shared" si="118"/>
        <v>207.3000000000029</v>
      </c>
      <c r="E144" s="191" t="s">
        <v>68</v>
      </c>
      <c r="F144" s="61">
        <v>1000</v>
      </c>
      <c r="G144" s="60">
        <v>5010</v>
      </c>
      <c r="H144" s="70">
        <f>G144-G143</f>
        <v>100</v>
      </c>
      <c r="I144" s="60"/>
      <c r="J144" s="59"/>
      <c r="K144" s="60">
        <v>92658</v>
      </c>
      <c r="L144" s="59">
        <f t="shared" si="110"/>
        <v>923.65</v>
      </c>
      <c r="M144" s="60"/>
      <c r="N144" s="59"/>
      <c r="O144" s="60">
        <v>20208</v>
      </c>
      <c r="P144" s="70">
        <f t="shared" si="111"/>
        <v>153</v>
      </c>
      <c r="Q144" s="60">
        <v>19044</v>
      </c>
      <c r="R144" s="70">
        <f>IF(Q144="",0,(Q144-Q143))</f>
        <v>115</v>
      </c>
      <c r="S144" s="60">
        <v>63374</v>
      </c>
      <c r="T144" s="70">
        <f>IF(S144="",0,(S144-S143))</f>
        <v>527</v>
      </c>
      <c r="U144" s="60">
        <v>8301</v>
      </c>
      <c r="V144" s="70">
        <f>IF(U144="",0,(U144-U143))</f>
        <v>13</v>
      </c>
      <c r="W144" s="60">
        <v>82808</v>
      </c>
      <c r="X144" s="70">
        <f>IF(W144="",0,(W144-W143))</f>
        <v>290</v>
      </c>
      <c r="Y144" s="60">
        <v>18782</v>
      </c>
      <c r="Z144" s="70">
        <f>IF(Y144="",0,(Y144-Y143))</f>
        <v>37</v>
      </c>
      <c r="AA144" s="60">
        <v>53050</v>
      </c>
      <c r="AB144" s="70">
        <f>IF(AA144="",0,(AA144-AA143))</f>
        <v>143</v>
      </c>
      <c r="AC144" s="134">
        <f t="shared" si="106"/>
        <v>3508.950000000003</v>
      </c>
      <c r="AD144" s="135">
        <v>0.612621359223301</v>
      </c>
      <c r="AE144" s="136">
        <f>AC144*AD144</f>
        <v>2149.6577184466037</v>
      </c>
      <c r="AF144" s="137">
        <f>SUM(AE142:AE144)</f>
        <v>8761.065582524272</v>
      </c>
      <c r="AH144" s="147">
        <f t="shared" si="107"/>
        <v>2230.950000000003</v>
      </c>
      <c r="AI144" s="186">
        <f t="shared" si="119"/>
        <v>1366.7276213592252</v>
      </c>
      <c r="AJ144" s="187">
        <f t="shared" si="108"/>
        <v>1278</v>
      </c>
      <c r="AK144" s="186">
        <f t="shared" si="120"/>
        <v>782.9300970873786</v>
      </c>
    </row>
    <row r="145" spans="1:37" s="54" customFormat="1" ht="12.75">
      <c r="A145" s="127">
        <v>38534</v>
      </c>
      <c r="B145" s="116">
        <v>38561</v>
      </c>
      <c r="C145" s="62">
        <v>35150</v>
      </c>
      <c r="D145" s="63">
        <f t="shared" si="118"/>
        <v>216</v>
      </c>
      <c r="E145" s="66" t="s">
        <v>68</v>
      </c>
      <c r="F145" s="57">
        <v>250</v>
      </c>
      <c r="G145" s="62">
        <v>5100</v>
      </c>
      <c r="H145" s="63">
        <f>G145-G144</f>
        <v>90</v>
      </c>
      <c r="I145" s="68"/>
      <c r="J145" s="63"/>
      <c r="K145" s="68">
        <v>93000</v>
      </c>
      <c r="L145" s="63">
        <f t="shared" si="110"/>
        <v>495.9</v>
      </c>
      <c r="M145" s="68"/>
      <c r="N145" s="63"/>
      <c r="O145" s="66">
        <v>20369</v>
      </c>
      <c r="P145" s="63">
        <f t="shared" si="111"/>
        <v>161</v>
      </c>
      <c r="Q145" s="66">
        <v>19265</v>
      </c>
      <c r="R145" s="63">
        <f aca="true" t="shared" si="128" ref="R145:R150">Q145-Q144</f>
        <v>221</v>
      </c>
      <c r="S145" s="66">
        <v>63792</v>
      </c>
      <c r="T145" s="63">
        <f aca="true" t="shared" si="129" ref="T145:T150">S145-S144</f>
        <v>418</v>
      </c>
      <c r="U145" s="66">
        <v>8315</v>
      </c>
      <c r="V145" s="63">
        <f aca="true" t="shared" si="130" ref="V145:V150">U145-U144</f>
        <v>14</v>
      </c>
      <c r="W145" s="66">
        <v>83274</v>
      </c>
      <c r="X145" s="63">
        <f aca="true" t="shared" si="131" ref="X145:X150">W145-W144</f>
        <v>466</v>
      </c>
      <c r="Y145" s="66">
        <v>18815</v>
      </c>
      <c r="Z145" s="63">
        <f aca="true" t="shared" si="132" ref="Z145:Z150">Y145-Y144</f>
        <v>33</v>
      </c>
      <c r="AA145" s="66">
        <v>53175</v>
      </c>
      <c r="AB145" s="63">
        <f aca="true" t="shared" si="133" ref="AB145:AB150">AA145-AA144</f>
        <v>125</v>
      </c>
      <c r="AC145" s="140">
        <f t="shared" si="106"/>
        <v>2489.9</v>
      </c>
      <c r="AD145" s="143">
        <v>0.6848543689320389</v>
      </c>
      <c r="AE145" s="157">
        <f>AC145*AD145</f>
        <v>1705.2188932038837</v>
      </c>
      <c r="AF145" s="141"/>
      <c r="AH145" s="147">
        <f t="shared" si="107"/>
        <v>1051.9</v>
      </c>
      <c r="AI145" s="186">
        <f t="shared" si="119"/>
        <v>720.3983106796118</v>
      </c>
      <c r="AJ145" s="187">
        <f t="shared" si="108"/>
        <v>1438</v>
      </c>
      <c r="AK145" s="186">
        <f t="shared" si="120"/>
        <v>984.8205825242719</v>
      </c>
    </row>
    <row r="146" spans="1:37" s="54" customFormat="1" ht="12.75">
      <c r="A146" s="127">
        <v>38565</v>
      </c>
      <c r="B146" s="116">
        <v>38593</v>
      </c>
      <c r="C146" s="250">
        <v>35516</v>
      </c>
      <c r="D146" s="192">
        <f t="shared" si="118"/>
        <v>366</v>
      </c>
      <c r="E146" s="250" t="s">
        <v>68</v>
      </c>
      <c r="F146" s="57">
        <v>1000</v>
      </c>
      <c r="G146" s="58">
        <v>5173</v>
      </c>
      <c r="H146" s="59">
        <f>G146-G145</f>
        <v>73</v>
      </c>
      <c r="I146" s="58"/>
      <c r="J146" s="59"/>
      <c r="K146" s="58">
        <v>93949</v>
      </c>
      <c r="L146" s="59">
        <f t="shared" si="110"/>
        <v>1376.05</v>
      </c>
      <c r="M146" s="58"/>
      <c r="N146" s="59"/>
      <c r="O146" s="58">
        <v>20408</v>
      </c>
      <c r="P146" s="59">
        <f t="shared" si="111"/>
        <v>39</v>
      </c>
      <c r="Q146" s="58">
        <v>19374</v>
      </c>
      <c r="R146" s="59">
        <f t="shared" si="128"/>
        <v>109</v>
      </c>
      <c r="S146" s="58">
        <v>64155</v>
      </c>
      <c r="T146" s="59">
        <f t="shared" si="129"/>
        <v>363</v>
      </c>
      <c r="U146" s="58">
        <v>8330</v>
      </c>
      <c r="V146" s="59">
        <f t="shared" si="130"/>
        <v>15</v>
      </c>
      <c r="W146" s="58">
        <v>83563</v>
      </c>
      <c r="X146" s="59">
        <f t="shared" si="131"/>
        <v>289</v>
      </c>
      <c r="Y146" s="58">
        <v>18887</v>
      </c>
      <c r="Z146" s="59">
        <f t="shared" si="132"/>
        <v>72</v>
      </c>
      <c r="AA146" s="58">
        <v>53585</v>
      </c>
      <c r="AB146" s="59">
        <f t="shared" si="133"/>
        <v>410</v>
      </c>
      <c r="AC146" s="140">
        <f t="shared" si="106"/>
        <v>4112.05</v>
      </c>
      <c r="AD146" s="145">
        <v>0.6848543689320389</v>
      </c>
      <c r="AE146" s="157">
        <f>AC146*AD146</f>
        <v>2816.1554077669907</v>
      </c>
      <c r="AF146" s="158"/>
      <c r="AH146" s="147">
        <f t="shared" si="107"/>
        <v>2815.05</v>
      </c>
      <c r="AI146" s="186">
        <f t="shared" si="119"/>
        <v>1927.899291262136</v>
      </c>
      <c r="AJ146" s="187">
        <f t="shared" si="108"/>
        <v>1297</v>
      </c>
      <c r="AK146" s="186">
        <f t="shared" si="120"/>
        <v>888.2561165048544</v>
      </c>
    </row>
    <row r="147" spans="1:37" s="54" customFormat="1" ht="13.5" thickBot="1">
      <c r="A147" s="127">
        <v>38596</v>
      </c>
      <c r="B147" s="116">
        <v>38623</v>
      </c>
      <c r="C147" s="250">
        <v>36386.94</v>
      </c>
      <c r="D147" s="194">
        <f t="shared" si="118"/>
        <v>870.9400000000023</v>
      </c>
      <c r="E147" s="191" t="s">
        <v>68</v>
      </c>
      <c r="F147" s="61">
        <v>3000</v>
      </c>
      <c r="G147" s="60">
        <v>5498.3</v>
      </c>
      <c r="H147" s="70">
        <f>G147-G146</f>
        <v>325.3000000000002</v>
      </c>
      <c r="I147" s="60"/>
      <c r="J147" s="59"/>
      <c r="K147" s="60">
        <v>97374</v>
      </c>
      <c r="L147" s="59">
        <f t="shared" si="110"/>
        <v>4966.25</v>
      </c>
      <c r="M147" s="60"/>
      <c r="N147" s="59"/>
      <c r="O147" s="60">
        <v>20796</v>
      </c>
      <c r="P147" s="70">
        <f t="shared" si="111"/>
        <v>388</v>
      </c>
      <c r="Q147" s="60">
        <v>19731</v>
      </c>
      <c r="R147" s="70">
        <f t="shared" si="128"/>
        <v>357</v>
      </c>
      <c r="S147" s="60">
        <v>64769</v>
      </c>
      <c r="T147" s="70">
        <f t="shared" si="129"/>
        <v>614</v>
      </c>
      <c r="U147" s="60">
        <v>8345</v>
      </c>
      <c r="V147" s="70">
        <f t="shared" si="130"/>
        <v>15</v>
      </c>
      <c r="W147" s="60">
        <v>83928</v>
      </c>
      <c r="X147" s="70">
        <f t="shared" si="131"/>
        <v>365</v>
      </c>
      <c r="Y147" s="60">
        <v>19727</v>
      </c>
      <c r="Z147" s="70">
        <f t="shared" si="132"/>
        <v>840</v>
      </c>
      <c r="AA147" s="60">
        <v>54382</v>
      </c>
      <c r="AB147" s="70">
        <f t="shared" si="133"/>
        <v>797</v>
      </c>
      <c r="AC147" s="134">
        <f t="shared" si="106"/>
        <v>12538.490000000002</v>
      </c>
      <c r="AD147" s="135">
        <v>0.6848543689320389</v>
      </c>
      <c r="AE147" s="136">
        <f>IF(AC147="","",AC147*AD147)</f>
        <v>8587.03965631068</v>
      </c>
      <c r="AF147" s="137">
        <f>SUM(AE145:AE147)</f>
        <v>13108.413957281555</v>
      </c>
      <c r="AH147" s="147">
        <f t="shared" si="107"/>
        <v>9162.490000000002</v>
      </c>
      <c r="AI147" s="186">
        <f t="shared" si="119"/>
        <v>6274.971306796118</v>
      </c>
      <c r="AJ147" s="187">
        <f t="shared" si="108"/>
        <v>3376</v>
      </c>
      <c r="AK147" s="186">
        <f t="shared" si="120"/>
        <v>2312.068349514563</v>
      </c>
    </row>
    <row r="148" spans="1:37" s="54" customFormat="1" ht="12.75">
      <c r="A148" s="127">
        <v>38626</v>
      </c>
      <c r="B148" s="116">
        <f>B$39</f>
        <v>38652</v>
      </c>
      <c r="C148" s="263">
        <v>37426</v>
      </c>
      <c r="D148" s="264">
        <f>IF(C148="","",C148-C147)</f>
        <v>1039.0599999999977</v>
      </c>
      <c r="E148" s="263" t="s">
        <v>68</v>
      </c>
      <c r="F148" s="57">
        <v>6000</v>
      </c>
      <c r="G148" s="66">
        <v>5876</v>
      </c>
      <c r="H148" s="63">
        <f>IF(G148="","",G148-G147)</f>
        <v>377.6999999999998</v>
      </c>
      <c r="I148" s="58"/>
      <c r="J148" s="63"/>
      <c r="K148" s="58">
        <v>101317</v>
      </c>
      <c r="L148" s="63">
        <f t="shared" si="110"/>
        <v>5717.349999999999</v>
      </c>
      <c r="M148" s="58"/>
      <c r="N148" s="63"/>
      <c r="O148" s="66">
        <v>21094</v>
      </c>
      <c r="P148" s="63">
        <f t="shared" si="111"/>
        <v>298</v>
      </c>
      <c r="Q148" s="66">
        <v>20115</v>
      </c>
      <c r="R148" s="63">
        <f t="shared" si="128"/>
        <v>384</v>
      </c>
      <c r="S148" s="66">
        <v>65692</v>
      </c>
      <c r="T148" s="63">
        <f t="shared" si="129"/>
        <v>923</v>
      </c>
      <c r="U148" s="66">
        <v>8470</v>
      </c>
      <c r="V148" s="63">
        <f t="shared" si="130"/>
        <v>125</v>
      </c>
      <c r="W148" s="66">
        <v>84711</v>
      </c>
      <c r="X148" s="63">
        <f t="shared" si="131"/>
        <v>783</v>
      </c>
      <c r="Y148" s="66">
        <v>19462</v>
      </c>
      <c r="Z148" s="63">
        <f t="shared" si="132"/>
        <v>-265</v>
      </c>
      <c r="AA148" s="66">
        <v>55454</v>
      </c>
      <c r="AB148" s="63">
        <f t="shared" si="133"/>
        <v>1072</v>
      </c>
      <c r="AC148" s="140">
        <f t="shared" si="106"/>
        <v>16454.109999999997</v>
      </c>
      <c r="AD148" s="143">
        <v>0.6848543689320389</v>
      </c>
      <c r="AE148" s="142">
        <f>IF(AC148="","",AC148*AD148)</f>
        <v>11268.669120388347</v>
      </c>
      <c r="AF148" s="141"/>
      <c r="AH148" s="147">
        <f t="shared" si="107"/>
        <v>13134.109999999997</v>
      </c>
      <c r="AI148" s="186">
        <f t="shared" si="119"/>
        <v>8994.952615533979</v>
      </c>
      <c r="AJ148" s="187">
        <f t="shared" si="108"/>
        <v>3320</v>
      </c>
      <c r="AK148" s="186">
        <f t="shared" si="120"/>
        <v>2273.7165048543693</v>
      </c>
    </row>
    <row r="149" spans="1:37" s="54" customFormat="1" ht="12.75">
      <c r="A149" s="127">
        <v>38657</v>
      </c>
      <c r="B149" s="116">
        <v>38679</v>
      </c>
      <c r="C149" s="250"/>
      <c r="D149" s="57">
        <f>D150</f>
        <v>974.5</v>
      </c>
      <c r="E149" s="58" t="s">
        <v>68</v>
      </c>
      <c r="F149" s="57">
        <v>10000</v>
      </c>
      <c r="G149" s="58">
        <v>6246.6</v>
      </c>
      <c r="H149" s="59">
        <f>IF(G149="","",G149-G148)</f>
        <v>370.60000000000036</v>
      </c>
      <c r="I149" s="58"/>
      <c r="J149" s="59"/>
      <c r="K149" s="58">
        <v>105296</v>
      </c>
      <c r="L149" s="59">
        <f t="shared" si="110"/>
        <v>5769.55</v>
      </c>
      <c r="M149" s="58"/>
      <c r="N149" s="59"/>
      <c r="O149" s="58">
        <v>21459</v>
      </c>
      <c r="P149" s="59">
        <f t="shared" si="111"/>
        <v>365</v>
      </c>
      <c r="Q149" s="58">
        <v>20588</v>
      </c>
      <c r="R149" s="59">
        <f t="shared" si="128"/>
        <v>473</v>
      </c>
      <c r="S149" s="58">
        <v>66930</v>
      </c>
      <c r="T149" s="59">
        <f t="shared" si="129"/>
        <v>1238</v>
      </c>
      <c r="U149" s="58">
        <v>8765</v>
      </c>
      <c r="V149" s="59">
        <f t="shared" si="130"/>
        <v>295</v>
      </c>
      <c r="W149" s="58">
        <v>85712</v>
      </c>
      <c r="X149" s="59">
        <f t="shared" si="131"/>
        <v>1001</v>
      </c>
      <c r="Y149" s="58">
        <v>19929</v>
      </c>
      <c r="Z149" s="59">
        <f t="shared" si="132"/>
        <v>467</v>
      </c>
      <c r="AA149" s="58">
        <v>56692</v>
      </c>
      <c r="AB149" s="59">
        <f t="shared" si="133"/>
        <v>1238</v>
      </c>
      <c r="AC149" s="140">
        <f t="shared" si="106"/>
        <v>22191.65</v>
      </c>
      <c r="AD149" s="145">
        <v>0.6848543689320389</v>
      </c>
      <c r="AE149" s="157">
        <f aca="true" t="shared" si="134" ref="AE149:AE156">IF(AC149="","",AC149*AD149)</f>
        <v>15198.048456310682</v>
      </c>
      <c r="AF149" s="158"/>
      <c r="AH149" s="147">
        <f t="shared" si="107"/>
        <v>17114.65</v>
      </c>
      <c r="AI149" s="186">
        <f t="shared" si="119"/>
        <v>11721.042825242721</v>
      </c>
      <c r="AJ149" s="187">
        <f t="shared" si="108"/>
        <v>5077</v>
      </c>
      <c r="AK149" s="186">
        <f t="shared" si="120"/>
        <v>3477.0056310679615</v>
      </c>
    </row>
    <row r="150" spans="1:37" s="54" customFormat="1" ht="13.5" thickBot="1">
      <c r="A150" s="127">
        <v>38687</v>
      </c>
      <c r="B150" s="116">
        <v>38701</v>
      </c>
      <c r="C150" s="250">
        <v>39375</v>
      </c>
      <c r="D150" s="61">
        <f>IF(C150="","",(C150-C148)/2)</f>
        <v>974.5</v>
      </c>
      <c r="E150" s="60" t="s">
        <v>68</v>
      </c>
      <c r="F150" s="61">
        <v>10000</v>
      </c>
      <c r="G150" s="60">
        <v>6480.3</v>
      </c>
      <c r="H150" s="70">
        <f>IF(G150="","",G150-G149)</f>
        <v>233.69999999999982</v>
      </c>
      <c r="I150" s="60"/>
      <c r="J150" s="59"/>
      <c r="K150" s="60">
        <v>108118</v>
      </c>
      <c r="L150" s="59">
        <f t="shared" si="110"/>
        <v>4091.9</v>
      </c>
      <c r="M150" s="60"/>
      <c r="N150" s="59"/>
      <c r="O150" s="60">
        <v>22293</v>
      </c>
      <c r="P150" s="70">
        <f t="shared" si="111"/>
        <v>834</v>
      </c>
      <c r="Q150" s="60">
        <v>21285</v>
      </c>
      <c r="R150" s="70">
        <f t="shared" si="128"/>
        <v>697</v>
      </c>
      <c r="S150" s="60">
        <v>68844</v>
      </c>
      <c r="T150" s="70">
        <f t="shared" si="129"/>
        <v>1914</v>
      </c>
      <c r="U150" s="60">
        <v>9295</v>
      </c>
      <c r="V150" s="70">
        <f t="shared" si="130"/>
        <v>530</v>
      </c>
      <c r="W150" s="60">
        <v>87310</v>
      </c>
      <c r="X150" s="70">
        <f t="shared" si="131"/>
        <v>1598</v>
      </c>
      <c r="Y150" s="60">
        <v>20670</v>
      </c>
      <c r="Z150" s="70">
        <f t="shared" si="132"/>
        <v>741</v>
      </c>
      <c r="AA150" s="60">
        <v>58575</v>
      </c>
      <c r="AB150" s="70">
        <f t="shared" si="133"/>
        <v>1883</v>
      </c>
      <c r="AC150" s="134">
        <f t="shared" si="106"/>
        <v>23497.1</v>
      </c>
      <c r="AD150" s="135">
        <v>0.6848543689320389</v>
      </c>
      <c r="AE150" s="136">
        <f t="shared" si="134"/>
        <v>16092.09159223301</v>
      </c>
      <c r="AF150" s="137">
        <f>SUM(AE148:AE150)</f>
        <v>42558.80916893204</v>
      </c>
      <c r="AH150" s="147">
        <f t="shared" si="107"/>
        <v>15300.1</v>
      </c>
      <c r="AI150" s="186">
        <f t="shared" si="119"/>
        <v>10478.340330097088</v>
      </c>
      <c r="AJ150" s="187">
        <f t="shared" si="108"/>
        <v>8197</v>
      </c>
      <c r="AK150" s="186">
        <f t="shared" si="120"/>
        <v>5613.751262135923</v>
      </c>
    </row>
    <row r="151" spans="1:37" s="54" customFormat="1" ht="12.75">
      <c r="A151" s="127">
        <v>38718</v>
      </c>
      <c r="B151" s="116">
        <v>38736</v>
      </c>
      <c r="C151" s="263">
        <v>40378</v>
      </c>
      <c r="D151" s="264">
        <f aca="true" t="shared" si="135" ref="D151:D168">(C151-C150)</f>
        <v>1003</v>
      </c>
      <c r="E151" s="263" t="s">
        <v>68</v>
      </c>
      <c r="F151" s="65">
        <v>10000</v>
      </c>
      <c r="G151" s="64">
        <v>6691.9</v>
      </c>
      <c r="H151" s="63">
        <f aca="true" t="shared" si="136" ref="H151:H168">(G151-G150)</f>
        <v>211.59999999999945</v>
      </c>
      <c r="I151" s="58"/>
      <c r="J151" s="63"/>
      <c r="K151" s="58">
        <v>111718</v>
      </c>
      <c r="L151" s="63">
        <f t="shared" si="110"/>
        <v>5220</v>
      </c>
      <c r="M151" s="58"/>
      <c r="N151" s="63"/>
      <c r="O151" s="66">
        <v>23301</v>
      </c>
      <c r="P151" s="63">
        <f t="shared" si="111"/>
        <v>1008</v>
      </c>
      <c r="Q151" s="66">
        <v>22329</v>
      </c>
      <c r="R151" s="63">
        <f>Q151-Q150</f>
        <v>1044</v>
      </c>
      <c r="S151" s="66">
        <v>71634</v>
      </c>
      <c r="T151" s="63">
        <f>S151-S150</f>
        <v>2790</v>
      </c>
      <c r="U151" s="66">
        <v>10128</v>
      </c>
      <c r="V151" s="63">
        <f>U151-U150</f>
        <v>833</v>
      </c>
      <c r="W151" s="66">
        <v>89503</v>
      </c>
      <c r="X151" s="63">
        <f>W151-W150</f>
        <v>2193</v>
      </c>
      <c r="Y151" s="66">
        <v>21757</v>
      </c>
      <c r="Z151" s="63">
        <f>Y151-Y150</f>
        <v>1087</v>
      </c>
      <c r="AA151" s="66">
        <v>61366</v>
      </c>
      <c r="AB151" s="63">
        <f>AA151-AA150</f>
        <v>2791</v>
      </c>
      <c r="AC151" s="140">
        <f t="shared" si="106"/>
        <v>28180.6</v>
      </c>
      <c r="AD151" s="143">
        <v>0.6848543689320389</v>
      </c>
      <c r="AE151" s="142">
        <f t="shared" si="134"/>
        <v>19299.607029126215</v>
      </c>
      <c r="AF151" s="141"/>
      <c r="AH151" s="147">
        <f t="shared" si="107"/>
        <v>16434.6</v>
      </c>
      <c r="AI151" s="186">
        <f t="shared" si="119"/>
        <v>11255.307611650485</v>
      </c>
      <c r="AJ151" s="187">
        <f t="shared" si="108"/>
        <v>11746</v>
      </c>
      <c r="AK151" s="186">
        <f t="shared" si="120"/>
        <v>8044.299417475729</v>
      </c>
    </row>
    <row r="152" spans="1:37" s="54" customFormat="1" ht="12.75">
      <c r="A152" s="127">
        <v>38749</v>
      </c>
      <c r="B152" s="116">
        <v>38764</v>
      </c>
      <c r="C152" s="250">
        <v>41702</v>
      </c>
      <c r="D152" s="192">
        <f t="shared" si="135"/>
        <v>1324</v>
      </c>
      <c r="E152" s="250" t="s">
        <v>68</v>
      </c>
      <c r="F152" s="57">
        <v>10000</v>
      </c>
      <c r="G152" s="67">
        <v>6994.9</v>
      </c>
      <c r="H152" s="59">
        <f t="shared" si="136"/>
        <v>303</v>
      </c>
      <c r="I152" s="58"/>
      <c r="J152" s="59"/>
      <c r="K152" s="58">
        <v>116592</v>
      </c>
      <c r="L152" s="59">
        <f t="shared" si="110"/>
        <v>7067.3</v>
      </c>
      <c r="M152" s="58"/>
      <c r="N152" s="59"/>
      <c r="O152" s="58">
        <v>24180</v>
      </c>
      <c r="P152" s="59">
        <f t="shared" si="111"/>
        <v>879</v>
      </c>
      <c r="Q152" s="58">
        <v>23138</v>
      </c>
      <c r="R152" s="59">
        <f>Q152-Q151</f>
        <v>809</v>
      </c>
      <c r="S152" s="58">
        <v>73743</v>
      </c>
      <c r="T152" s="59">
        <f>S152-S151</f>
        <v>2109</v>
      </c>
      <c r="U152" s="58">
        <v>10686</v>
      </c>
      <c r="V152" s="59">
        <f>U152-U151</f>
        <v>558</v>
      </c>
      <c r="W152" s="58">
        <v>91363</v>
      </c>
      <c r="X152" s="59">
        <f>W152-W151</f>
        <v>1860</v>
      </c>
      <c r="Y152" s="58">
        <v>22579</v>
      </c>
      <c r="Z152" s="59">
        <f>Y152-Y151</f>
        <v>822</v>
      </c>
      <c r="AA152" s="58">
        <v>63445</v>
      </c>
      <c r="AB152" s="59">
        <f>AA152-AA151</f>
        <v>2079</v>
      </c>
      <c r="AC152" s="140">
        <f t="shared" si="106"/>
        <v>27810.3</v>
      </c>
      <c r="AD152" s="145">
        <v>0.6848543689320389</v>
      </c>
      <c r="AE152" s="157">
        <f t="shared" si="134"/>
        <v>19046.00545631068</v>
      </c>
      <c r="AF152" s="158"/>
      <c r="AH152" s="147">
        <f t="shared" si="107"/>
        <v>18694.3</v>
      </c>
      <c r="AI152" s="186">
        <f t="shared" si="119"/>
        <v>12802.873029126215</v>
      </c>
      <c r="AJ152" s="187">
        <f t="shared" si="108"/>
        <v>9116</v>
      </c>
      <c r="AK152" s="186">
        <f t="shared" si="120"/>
        <v>6243.132427184466</v>
      </c>
    </row>
    <row r="153" spans="1:37" s="54" customFormat="1" ht="13.5" thickBot="1">
      <c r="A153" s="127">
        <v>38777</v>
      </c>
      <c r="B153" s="116">
        <v>38791</v>
      </c>
      <c r="C153" s="250">
        <v>42796</v>
      </c>
      <c r="D153" s="194">
        <f t="shared" si="135"/>
        <v>1094</v>
      </c>
      <c r="E153" s="191" t="s">
        <v>68</v>
      </c>
      <c r="F153" s="61">
        <v>8000</v>
      </c>
      <c r="G153" s="60">
        <v>7209.3</v>
      </c>
      <c r="H153" s="70">
        <f t="shared" si="136"/>
        <v>214.40000000000055</v>
      </c>
      <c r="I153" s="60"/>
      <c r="J153" s="59"/>
      <c r="K153" s="60">
        <v>119998</v>
      </c>
      <c r="L153" s="59">
        <f t="shared" si="110"/>
        <v>4938.7</v>
      </c>
      <c r="M153" s="60"/>
      <c r="N153" s="59"/>
      <c r="O153" s="60">
        <v>25043</v>
      </c>
      <c r="P153" s="70">
        <f t="shared" si="111"/>
        <v>863</v>
      </c>
      <c r="Q153" s="60">
        <v>23951</v>
      </c>
      <c r="R153" s="70">
        <f>Q153-Q152</f>
        <v>813</v>
      </c>
      <c r="S153" s="60">
        <v>75849</v>
      </c>
      <c r="T153" s="70">
        <f>S153-S152</f>
        <v>2106</v>
      </c>
      <c r="U153" s="60">
        <v>11292</v>
      </c>
      <c r="V153" s="70">
        <f>U153-U152</f>
        <v>606</v>
      </c>
      <c r="W153" s="60">
        <v>93118</v>
      </c>
      <c r="X153" s="70">
        <f>W153-W152</f>
        <v>1755</v>
      </c>
      <c r="Y153" s="60">
        <v>23391</v>
      </c>
      <c r="Z153" s="70">
        <f>Y153-Y152</f>
        <v>812</v>
      </c>
      <c r="AA153" s="60">
        <v>65454</v>
      </c>
      <c r="AB153" s="70">
        <f>AA153-AA152</f>
        <v>2009</v>
      </c>
      <c r="AC153" s="134">
        <f t="shared" si="106"/>
        <v>23211.100000000002</v>
      </c>
      <c r="AD153" s="135">
        <v>0.6848543689320389</v>
      </c>
      <c r="AE153" s="136">
        <f t="shared" si="134"/>
        <v>15896.22324271845</v>
      </c>
      <c r="AF153" s="137">
        <f>SUM(AE151:AE153)</f>
        <v>54241.83572815535</v>
      </c>
      <c r="AH153" s="147">
        <f t="shared" si="107"/>
        <v>14247.100000000002</v>
      </c>
      <c r="AI153" s="186">
        <f t="shared" si="119"/>
        <v>9757.188679611652</v>
      </c>
      <c r="AJ153" s="187">
        <f t="shared" si="108"/>
        <v>8964</v>
      </c>
      <c r="AK153" s="186">
        <f t="shared" si="120"/>
        <v>6139.034563106797</v>
      </c>
    </row>
    <row r="154" spans="1:37" s="54" customFormat="1" ht="12.75">
      <c r="A154" s="127">
        <v>38808</v>
      </c>
      <c r="B154" s="116">
        <f>B45</f>
        <v>38824</v>
      </c>
      <c r="C154" s="263">
        <v>44400</v>
      </c>
      <c r="D154" s="264">
        <f t="shared" si="135"/>
        <v>1604</v>
      </c>
      <c r="E154" s="263" t="s">
        <v>68</v>
      </c>
      <c r="F154" s="65">
        <v>1000</v>
      </c>
      <c r="G154" s="64">
        <v>7538.3</v>
      </c>
      <c r="H154" s="63">
        <f t="shared" si="136"/>
        <v>329</v>
      </c>
      <c r="I154" s="66"/>
      <c r="J154" s="63"/>
      <c r="K154" s="66">
        <v>125231</v>
      </c>
      <c r="L154" s="63">
        <f t="shared" si="110"/>
        <v>7587.849999999999</v>
      </c>
      <c r="M154" s="66"/>
      <c r="N154" s="63"/>
      <c r="O154" s="66">
        <v>25802</v>
      </c>
      <c r="P154" s="63">
        <f>IF(O154="","",O154-O153)</f>
        <v>759</v>
      </c>
      <c r="Q154" s="66">
        <v>24651</v>
      </c>
      <c r="R154" s="63">
        <f>IF(Q154="","",Q154-Q153)</f>
        <v>700</v>
      </c>
      <c r="S154" s="66">
        <v>77715</v>
      </c>
      <c r="T154" s="63">
        <f>IF(S154="","",S154-S153)</f>
        <v>1866</v>
      </c>
      <c r="U154" s="66">
        <v>11711</v>
      </c>
      <c r="V154" s="63">
        <f>IF(U154="","",U154-U153)</f>
        <v>419</v>
      </c>
      <c r="W154" s="66">
        <v>94560</v>
      </c>
      <c r="X154" s="63">
        <f>IF(W154="","",W154-W153)</f>
        <v>1442</v>
      </c>
      <c r="Y154" s="66">
        <v>24090</v>
      </c>
      <c r="Z154" s="63">
        <f>IF(Y154="","",Y154-Y153)</f>
        <v>699</v>
      </c>
      <c r="AA154" s="66">
        <v>67250</v>
      </c>
      <c r="AB154" s="63">
        <f>IF(AA154="","",AA154-AA153)</f>
        <v>1796</v>
      </c>
      <c r="AC154" s="140">
        <f t="shared" si="106"/>
        <v>18201.85</v>
      </c>
      <c r="AD154" s="143">
        <v>0.6848543689320389</v>
      </c>
      <c r="AE154" s="142">
        <f t="shared" si="134"/>
        <v>12465.61649514563</v>
      </c>
      <c r="AF154" s="141"/>
      <c r="AH154" s="147">
        <f t="shared" si="107"/>
        <v>10520.849999999999</v>
      </c>
      <c r="AI154" s="186">
        <f t="shared" si="119"/>
        <v>7205.25008737864</v>
      </c>
      <c r="AJ154" s="187">
        <f t="shared" si="108"/>
        <v>7681</v>
      </c>
      <c r="AK154" s="186">
        <f t="shared" si="120"/>
        <v>5260.366407766991</v>
      </c>
    </row>
    <row r="155" spans="1:37" s="115" customFormat="1" ht="12.75">
      <c r="A155" s="127">
        <v>38838</v>
      </c>
      <c r="B155" s="116">
        <v>38856</v>
      </c>
      <c r="C155" s="250">
        <v>45152.6</v>
      </c>
      <c r="D155" s="192">
        <f t="shared" si="135"/>
        <v>752.5999999999985</v>
      </c>
      <c r="E155" s="250" t="s">
        <v>68</v>
      </c>
      <c r="F155" s="57">
        <v>250</v>
      </c>
      <c r="G155" s="58">
        <v>7704.2</v>
      </c>
      <c r="H155" s="59">
        <f t="shared" si="136"/>
        <v>165.89999999999964</v>
      </c>
      <c r="I155" s="58"/>
      <c r="J155" s="59"/>
      <c r="K155" s="58">
        <v>127031</v>
      </c>
      <c r="L155" s="59">
        <f t="shared" si="110"/>
        <v>2610</v>
      </c>
      <c r="M155" s="58"/>
      <c r="N155" s="59"/>
      <c r="O155" s="58">
        <v>26143</v>
      </c>
      <c r="P155" s="59">
        <f aca="true" t="shared" si="137" ref="P155:R156">IF(O155="","",O155-O154)</f>
        <v>341</v>
      </c>
      <c r="Q155" s="58">
        <v>24962</v>
      </c>
      <c r="R155" s="59">
        <f t="shared" si="137"/>
        <v>311</v>
      </c>
      <c r="S155" s="58">
        <v>78627</v>
      </c>
      <c r="T155" s="59">
        <f>IF(S155="","",S155-S154)</f>
        <v>912</v>
      </c>
      <c r="U155" s="58">
        <v>11786</v>
      </c>
      <c r="V155" s="59">
        <f>IF(U155="","",U155-U154)</f>
        <v>75</v>
      </c>
      <c r="W155" s="58">
        <v>95210</v>
      </c>
      <c r="X155" s="59">
        <f>IF(W155="","",W155-W154)</f>
        <v>650</v>
      </c>
      <c r="Y155" s="58">
        <v>24370</v>
      </c>
      <c r="Z155" s="59">
        <f>IF(Y155="","",Y155-Y154)</f>
        <v>280</v>
      </c>
      <c r="AA155" s="58">
        <v>68146</v>
      </c>
      <c r="AB155" s="59">
        <f>IF(AA155="","",AA155-AA154)</f>
        <v>896</v>
      </c>
      <c r="AC155" s="140">
        <f t="shared" si="106"/>
        <v>7243.499999999998</v>
      </c>
      <c r="AD155" s="145">
        <v>0.6848543689320389</v>
      </c>
      <c r="AE155" s="157">
        <f t="shared" si="134"/>
        <v>4960.7426213592225</v>
      </c>
      <c r="AF155" s="158"/>
      <c r="AH155" s="147">
        <f t="shared" si="107"/>
        <v>3778.499999999998</v>
      </c>
      <c r="AI155" s="186">
        <f t="shared" si="119"/>
        <v>2587.7222330097075</v>
      </c>
      <c r="AJ155" s="187">
        <f t="shared" si="108"/>
        <v>3465</v>
      </c>
      <c r="AK155" s="186">
        <f t="shared" si="120"/>
        <v>2373.0203883495146</v>
      </c>
    </row>
    <row r="156" spans="1:37" s="115" customFormat="1" ht="13.5" thickBot="1">
      <c r="A156" s="127">
        <v>38869</v>
      </c>
      <c r="B156" s="178">
        <v>38882</v>
      </c>
      <c r="C156" s="191">
        <v>45349.4</v>
      </c>
      <c r="D156" s="194">
        <f t="shared" si="135"/>
        <v>196.8000000000029</v>
      </c>
      <c r="E156" s="191" t="s">
        <v>68</v>
      </c>
      <c r="F156" s="61">
        <v>250</v>
      </c>
      <c r="G156" s="69">
        <v>7796.7</v>
      </c>
      <c r="H156" s="70">
        <f t="shared" si="136"/>
        <v>92.5</v>
      </c>
      <c r="I156" s="60"/>
      <c r="J156" s="59"/>
      <c r="K156" s="60">
        <v>127576</v>
      </c>
      <c r="L156" s="59">
        <f t="shared" si="110"/>
        <v>790.25</v>
      </c>
      <c r="M156" s="60"/>
      <c r="N156" s="59"/>
      <c r="O156" s="60">
        <v>26260</v>
      </c>
      <c r="P156" s="70">
        <f t="shared" si="137"/>
        <v>117</v>
      </c>
      <c r="Q156" s="60">
        <v>25220</v>
      </c>
      <c r="R156" s="70">
        <f t="shared" si="137"/>
        <v>258</v>
      </c>
      <c r="S156" s="60">
        <v>78924</v>
      </c>
      <c r="T156" s="70">
        <f>IF(S156="","",S156-S155)</f>
        <v>297</v>
      </c>
      <c r="U156" s="60">
        <v>11797</v>
      </c>
      <c r="V156" s="70">
        <f>IF(U156="","",U156-U155)</f>
        <v>11</v>
      </c>
      <c r="W156" s="60">
        <v>95410</v>
      </c>
      <c r="X156" s="70">
        <f>IF(W156="","",W156-W155)</f>
        <v>200</v>
      </c>
      <c r="Y156" s="60">
        <v>24445</v>
      </c>
      <c r="Z156" s="70">
        <f>IF(Y156="","",Y156-Y155)</f>
        <v>75</v>
      </c>
      <c r="AA156" s="60">
        <v>68522</v>
      </c>
      <c r="AB156" s="70">
        <f>IF(AA156="","",AA156-AA155)</f>
        <v>376</v>
      </c>
      <c r="AC156" s="134">
        <f t="shared" si="106"/>
        <v>2663.550000000003</v>
      </c>
      <c r="AD156" s="135">
        <v>0.6848543689320389</v>
      </c>
      <c r="AE156" s="136">
        <f t="shared" si="134"/>
        <v>1824.1438543689342</v>
      </c>
      <c r="AF156" s="137">
        <f>SUM(AE154:AE156)</f>
        <v>19250.502970873786</v>
      </c>
      <c r="AH156" s="147">
        <f t="shared" si="107"/>
        <v>1329.550000000003</v>
      </c>
      <c r="AI156" s="186">
        <f t="shared" si="119"/>
        <v>910.5481262135943</v>
      </c>
      <c r="AJ156" s="187">
        <f t="shared" si="108"/>
        <v>1334</v>
      </c>
      <c r="AK156" s="186">
        <f t="shared" si="120"/>
        <v>913.5957281553399</v>
      </c>
    </row>
    <row r="157" spans="1:37" s="54" customFormat="1" ht="12.75">
      <c r="A157" s="127">
        <v>38899</v>
      </c>
      <c r="B157" s="178">
        <v>38915</v>
      </c>
      <c r="C157" s="263">
        <v>45740</v>
      </c>
      <c r="D157" s="264">
        <f t="shared" si="135"/>
        <v>390.59999999999854</v>
      </c>
      <c r="E157" s="263" t="s">
        <v>68</v>
      </c>
      <c r="F157" s="57">
        <v>250</v>
      </c>
      <c r="G157" s="66">
        <v>7904.2</v>
      </c>
      <c r="H157" s="63">
        <f t="shared" si="136"/>
        <v>107.5</v>
      </c>
      <c r="I157" s="66"/>
      <c r="J157" s="63"/>
      <c r="K157" s="66">
        <v>129291</v>
      </c>
      <c r="L157" s="63">
        <f t="shared" si="110"/>
        <v>2486.75</v>
      </c>
      <c r="M157" s="66"/>
      <c r="N157" s="63"/>
      <c r="O157" s="66">
        <v>26398</v>
      </c>
      <c r="P157" s="63">
        <f>O157-O156</f>
        <v>138</v>
      </c>
      <c r="Q157" s="66">
        <v>25640</v>
      </c>
      <c r="R157" s="63">
        <f>Q157-Q156</f>
        <v>420</v>
      </c>
      <c r="S157" s="66">
        <v>79339</v>
      </c>
      <c r="T157" s="63">
        <f>S157-S156</f>
        <v>415</v>
      </c>
      <c r="U157" s="66">
        <v>11812</v>
      </c>
      <c r="V157" s="63">
        <f>U157-U156</f>
        <v>15</v>
      </c>
      <c r="W157" s="66">
        <v>95674</v>
      </c>
      <c r="X157" s="63">
        <f>W157-W156</f>
        <v>264</v>
      </c>
      <c r="Y157" s="66">
        <v>24515</v>
      </c>
      <c r="Z157" s="63">
        <f>Y157-Y156</f>
        <v>70</v>
      </c>
      <c r="AA157" s="66">
        <v>68864</v>
      </c>
      <c r="AB157" s="63">
        <f>AA157-AA156</f>
        <v>342</v>
      </c>
      <c r="AC157" s="140">
        <f t="shared" si="106"/>
        <v>4898.8499999999985</v>
      </c>
      <c r="AD157" s="143">
        <v>1.0019417475728154</v>
      </c>
      <c r="AE157" s="157">
        <f>AC157*AD157</f>
        <v>4908.362330097085</v>
      </c>
      <c r="AF157" s="141"/>
      <c r="AH157" s="147">
        <f t="shared" si="107"/>
        <v>3234.8499999999985</v>
      </c>
      <c r="AI157" s="186">
        <f t="shared" si="119"/>
        <v>3241.13126213592</v>
      </c>
      <c r="AJ157" s="187">
        <f t="shared" si="108"/>
        <v>1664</v>
      </c>
      <c r="AK157" s="186">
        <f t="shared" si="120"/>
        <v>1667.2310679611649</v>
      </c>
    </row>
    <row r="158" spans="1:37" s="54" customFormat="1" ht="12.75">
      <c r="A158" s="127">
        <v>38930</v>
      </c>
      <c r="B158" s="178">
        <v>38944</v>
      </c>
      <c r="C158" s="250">
        <v>46108.9</v>
      </c>
      <c r="D158" s="192">
        <f t="shared" si="135"/>
        <v>368.90000000000146</v>
      </c>
      <c r="E158" s="250" t="s">
        <v>68</v>
      </c>
      <c r="F158" s="57">
        <v>1000</v>
      </c>
      <c r="G158" s="58">
        <v>8004.5</v>
      </c>
      <c r="H158" s="59">
        <f t="shared" si="136"/>
        <v>100.30000000000018</v>
      </c>
      <c r="I158" s="58"/>
      <c r="J158" s="59"/>
      <c r="K158" s="58">
        <v>130924</v>
      </c>
      <c r="L158" s="59">
        <f t="shared" si="110"/>
        <v>2367.85</v>
      </c>
      <c r="M158" s="58"/>
      <c r="N158" s="59"/>
      <c r="O158" s="58">
        <v>26604</v>
      </c>
      <c r="P158" s="59">
        <f>O158-O157</f>
        <v>206</v>
      </c>
      <c r="Q158" s="58">
        <v>25940</v>
      </c>
      <c r="R158" s="59">
        <f>Q158-Q157</f>
        <v>300</v>
      </c>
      <c r="S158" s="58">
        <v>79672</v>
      </c>
      <c r="T158" s="59">
        <f>S158-S157</f>
        <v>333</v>
      </c>
      <c r="U158" s="58">
        <v>11826</v>
      </c>
      <c r="V158" s="59">
        <f>U158-U157</f>
        <v>14</v>
      </c>
      <c r="W158" s="58">
        <v>95897</v>
      </c>
      <c r="X158" s="59">
        <f>W158-W157</f>
        <v>223</v>
      </c>
      <c r="Y158" s="58">
        <v>24573</v>
      </c>
      <c r="Z158" s="59">
        <f>Y158-Y157</f>
        <v>58</v>
      </c>
      <c r="AA158" s="58">
        <v>69362</v>
      </c>
      <c r="AB158" s="59">
        <f>AA158-AA157</f>
        <v>498</v>
      </c>
      <c r="AC158" s="140">
        <f t="shared" si="106"/>
        <v>5469.050000000001</v>
      </c>
      <c r="AD158" s="145">
        <v>1.0019417475728154</v>
      </c>
      <c r="AE158" s="157">
        <f>AC158*AD158</f>
        <v>5479.669514563107</v>
      </c>
      <c r="AF158" s="158"/>
      <c r="AH158" s="147">
        <f t="shared" si="107"/>
        <v>3837.0500000000015</v>
      </c>
      <c r="AI158" s="186">
        <f t="shared" si="119"/>
        <v>3844.500582524273</v>
      </c>
      <c r="AJ158" s="187">
        <f t="shared" si="108"/>
        <v>1632</v>
      </c>
      <c r="AK158" s="186">
        <f t="shared" si="120"/>
        <v>1635.1689320388348</v>
      </c>
    </row>
    <row r="159" spans="1:37" s="54" customFormat="1" ht="13.5" thickBot="1">
      <c r="A159" s="127">
        <v>38961</v>
      </c>
      <c r="B159" s="178">
        <v>38975</v>
      </c>
      <c r="C159" s="191">
        <v>46901.4</v>
      </c>
      <c r="D159" s="194">
        <f t="shared" si="135"/>
        <v>792.5</v>
      </c>
      <c r="E159" s="191" t="s">
        <v>68</v>
      </c>
      <c r="F159" s="61">
        <v>3000</v>
      </c>
      <c r="G159" s="60">
        <v>8220.6</v>
      </c>
      <c r="H159" s="70">
        <f t="shared" si="136"/>
        <v>216.10000000000036</v>
      </c>
      <c r="I159" s="60"/>
      <c r="J159" s="59"/>
      <c r="K159" s="60">
        <v>133571</v>
      </c>
      <c r="L159" s="59">
        <f t="shared" si="110"/>
        <v>3838.15</v>
      </c>
      <c r="M159" s="60"/>
      <c r="N159" s="59"/>
      <c r="O159" s="60">
        <v>26823</v>
      </c>
      <c r="P159" s="70">
        <f>O159-O158</f>
        <v>219</v>
      </c>
      <c r="Q159" s="60">
        <v>26269</v>
      </c>
      <c r="R159" s="70">
        <f>Q159-Q158</f>
        <v>329</v>
      </c>
      <c r="S159" s="60">
        <v>80132</v>
      </c>
      <c r="T159" s="70">
        <f>S159-S158</f>
        <v>460</v>
      </c>
      <c r="U159" s="60">
        <v>11840</v>
      </c>
      <c r="V159" s="70">
        <f>U159-U158</f>
        <v>14</v>
      </c>
      <c r="W159" s="60">
        <v>96268</v>
      </c>
      <c r="X159" s="70">
        <f>W159-W158</f>
        <v>371</v>
      </c>
      <c r="Y159" s="60">
        <v>24783</v>
      </c>
      <c r="Z159" s="70">
        <f>Y159-Y158</f>
        <v>210</v>
      </c>
      <c r="AA159" s="60">
        <v>70040</v>
      </c>
      <c r="AB159" s="70">
        <f>AA159-AA158</f>
        <v>678</v>
      </c>
      <c r="AC159" s="134">
        <f t="shared" si="106"/>
        <v>10127.75</v>
      </c>
      <c r="AD159" s="135">
        <v>1.0019417475728154</v>
      </c>
      <c r="AE159" s="136">
        <f>IF(AC159="","",AC159*AD159)</f>
        <v>10147.415533980582</v>
      </c>
      <c r="AF159" s="137">
        <f>SUM(AE157:AE159)</f>
        <v>20535.447378640776</v>
      </c>
      <c r="AG159" s="195"/>
      <c r="AH159" s="147">
        <f t="shared" si="107"/>
        <v>7846.75</v>
      </c>
      <c r="AI159" s="186">
        <f t="shared" si="119"/>
        <v>7861.986407766989</v>
      </c>
      <c r="AJ159" s="187">
        <f t="shared" si="108"/>
        <v>2281</v>
      </c>
      <c r="AK159" s="186">
        <f t="shared" si="120"/>
        <v>2285.429126213592</v>
      </c>
    </row>
    <row r="160" spans="1:37" s="54" customFormat="1" ht="12.75">
      <c r="A160" s="127">
        <v>38991</v>
      </c>
      <c r="B160" s="116">
        <v>39005</v>
      </c>
      <c r="C160" s="263">
        <v>47948</v>
      </c>
      <c r="D160" s="264">
        <f t="shared" si="135"/>
        <v>1046.5999999999985</v>
      </c>
      <c r="E160" s="263" t="s">
        <v>68</v>
      </c>
      <c r="F160" s="57">
        <v>6000</v>
      </c>
      <c r="G160" s="66">
        <v>8580.3</v>
      </c>
      <c r="H160" s="63">
        <f t="shared" si="136"/>
        <v>359.6999999999989</v>
      </c>
      <c r="I160" s="58"/>
      <c r="J160" s="63"/>
      <c r="K160" s="58">
        <v>137366</v>
      </c>
      <c r="L160" s="63">
        <f t="shared" si="110"/>
        <v>5502.75</v>
      </c>
      <c r="M160" s="58"/>
      <c r="N160" s="63"/>
      <c r="O160" s="66">
        <v>27148</v>
      </c>
      <c r="P160" s="147">
        <f aca="true" t="shared" si="138" ref="P160:AB174">O160-O159</f>
        <v>325</v>
      </c>
      <c r="Q160" s="66">
        <v>26551</v>
      </c>
      <c r="R160" s="63">
        <f t="shared" si="138"/>
        <v>282</v>
      </c>
      <c r="S160" s="64">
        <v>81814</v>
      </c>
      <c r="T160" s="147">
        <f t="shared" si="138"/>
        <v>1682</v>
      </c>
      <c r="U160" s="66">
        <v>11958</v>
      </c>
      <c r="V160" s="63">
        <f t="shared" si="138"/>
        <v>118</v>
      </c>
      <c r="W160" s="64">
        <v>96846</v>
      </c>
      <c r="X160" s="147">
        <f t="shared" si="138"/>
        <v>578</v>
      </c>
      <c r="Y160" s="66">
        <v>25121</v>
      </c>
      <c r="Z160" s="63">
        <f t="shared" si="138"/>
        <v>338</v>
      </c>
      <c r="AA160" s="64">
        <v>71795</v>
      </c>
      <c r="AB160" s="147">
        <f t="shared" si="138"/>
        <v>1755</v>
      </c>
      <c r="AC160" s="140">
        <f t="shared" si="106"/>
        <v>17987.049999999996</v>
      </c>
      <c r="AD160" s="143">
        <v>1.0019417475728154</v>
      </c>
      <c r="AE160" s="142">
        <f>IF(AC160="","",AC160*AD160)</f>
        <v>18021.976310679605</v>
      </c>
      <c r="AF160" s="141"/>
      <c r="AH160" s="147">
        <f t="shared" si="107"/>
        <v>12909.049999999997</v>
      </c>
      <c r="AI160" s="186">
        <f t="shared" si="119"/>
        <v>12934.11611650485</v>
      </c>
      <c r="AJ160" s="187">
        <f t="shared" si="108"/>
        <v>5078</v>
      </c>
      <c r="AK160" s="186">
        <f t="shared" si="120"/>
        <v>5087.8601941747565</v>
      </c>
    </row>
    <row r="161" spans="1:37" s="54" customFormat="1" ht="12.75">
      <c r="A161" s="127">
        <v>39022</v>
      </c>
      <c r="B161" s="116">
        <v>39036</v>
      </c>
      <c r="C161" s="250">
        <v>49407</v>
      </c>
      <c r="D161" s="192">
        <f t="shared" si="135"/>
        <v>1459</v>
      </c>
      <c r="E161" s="250" t="s">
        <v>68</v>
      </c>
      <c r="F161" s="57">
        <v>10000</v>
      </c>
      <c r="G161" s="58">
        <v>9018.3</v>
      </c>
      <c r="H161" s="59">
        <f t="shared" si="136"/>
        <v>438</v>
      </c>
      <c r="I161" s="58"/>
      <c r="J161" s="59"/>
      <c r="K161" s="58">
        <v>142116</v>
      </c>
      <c r="L161" s="59">
        <f t="shared" si="110"/>
        <v>6887.5</v>
      </c>
      <c r="M161" s="58"/>
      <c r="N161" s="59"/>
      <c r="O161" s="58">
        <v>27770</v>
      </c>
      <c r="P161" s="147">
        <f t="shared" si="138"/>
        <v>622</v>
      </c>
      <c r="Q161" s="58">
        <v>27208</v>
      </c>
      <c r="R161" s="59">
        <f t="shared" si="138"/>
        <v>657</v>
      </c>
      <c r="S161" s="67">
        <v>82223</v>
      </c>
      <c r="T161" s="147">
        <f t="shared" si="138"/>
        <v>409</v>
      </c>
      <c r="U161" s="58">
        <v>12364</v>
      </c>
      <c r="V161" s="59">
        <f t="shared" si="138"/>
        <v>406</v>
      </c>
      <c r="W161" s="67">
        <v>98086</v>
      </c>
      <c r="X161" s="147">
        <f t="shared" si="138"/>
        <v>1240</v>
      </c>
      <c r="Y161" s="58">
        <v>25719</v>
      </c>
      <c r="Z161" s="59">
        <f t="shared" si="138"/>
        <v>598</v>
      </c>
      <c r="AA161" s="67">
        <v>72275</v>
      </c>
      <c r="AB161" s="147">
        <f t="shared" si="138"/>
        <v>480</v>
      </c>
      <c r="AC161" s="140">
        <f t="shared" si="106"/>
        <v>23196.5</v>
      </c>
      <c r="AD161" s="145">
        <v>1.0019417475728154</v>
      </c>
      <c r="AE161" s="157">
        <f aca="true" t="shared" si="139" ref="AE161:AE168">IF(AC161="","",AC161*AD161)</f>
        <v>23241.541747572814</v>
      </c>
      <c r="AF161" s="158"/>
      <c r="AH161" s="147">
        <f t="shared" si="107"/>
        <v>18784.5</v>
      </c>
      <c r="AI161" s="186">
        <f t="shared" si="119"/>
        <v>18820.97475728155</v>
      </c>
      <c r="AJ161" s="187">
        <f t="shared" si="108"/>
        <v>4412</v>
      </c>
      <c r="AK161" s="186">
        <f t="shared" si="120"/>
        <v>4420.566990291261</v>
      </c>
    </row>
    <row r="162" spans="1:37" s="54" customFormat="1" ht="13.5" thickBot="1">
      <c r="A162" s="127">
        <v>39052</v>
      </c>
      <c r="B162" s="116">
        <v>39066</v>
      </c>
      <c r="C162" s="71">
        <f>C161+(C163-C161)/2</f>
        <v>50478.5</v>
      </c>
      <c r="D162" s="70">
        <f t="shared" si="135"/>
        <v>1071.5</v>
      </c>
      <c r="E162" s="60" t="s">
        <v>68</v>
      </c>
      <c r="F162" s="61">
        <v>10000</v>
      </c>
      <c r="G162" s="60">
        <v>9331</v>
      </c>
      <c r="H162" s="70">
        <f t="shared" si="136"/>
        <v>312.7000000000007</v>
      </c>
      <c r="I162" s="60"/>
      <c r="J162" s="59"/>
      <c r="K162" s="60">
        <v>146174</v>
      </c>
      <c r="L162" s="59">
        <f t="shared" si="110"/>
        <v>5884.099999999999</v>
      </c>
      <c r="M162" s="60"/>
      <c r="N162" s="59"/>
      <c r="O162" s="68">
        <f>O161+(O163-O161)/2</f>
        <v>28025.5</v>
      </c>
      <c r="P162" s="147">
        <f t="shared" si="138"/>
        <v>255.5</v>
      </c>
      <c r="Q162" s="71">
        <f>Q161+(Q163-Q161)/2</f>
        <v>27983.5</v>
      </c>
      <c r="R162" s="70">
        <f t="shared" si="138"/>
        <v>775.5</v>
      </c>
      <c r="S162" s="171">
        <f>S161+(S163-S161)/2</f>
        <v>83989</v>
      </c>
      <c r="T162" s="147">
        <f t="shared" si="138"/>
        <v>1766</v>
      </c>
      <c r="U162" s="71">
        <f>U161+(U163-U161)/2</f>
        <v>12865</v>
      </c>
      <c r="V162" s="70">
        <f t="shared" si="138"/>
        <v>501</v>
      </c>
      <c r="W162" s="171">
        <f>W161+(W163-W161)/2</f>
        <v>99544.5</v>
      </c>
      <c r="X162" s="147">
        <f t="shared" si="138"/>
        <v>1458.5</v>
      </c>
      <c r="Y162" s="71">
        <f>Y161+(Y163-Y161)/2</f>
        <v>26218.5</v>
      </c>
      <c r="Z162" s="70">
        <f t="shared" si="138"/>
        <v>499.5</v>
      </c>
      <c r="AA162" s="171">
        <f>AA161+(AA163-AA161)/2</f>
        <v>74027</v>
      </c>
      <c r="AB162" s="147">
        <f t="shared" si="138"/>
        <v>1752</v>
      </c>
      <c r="AC162" s="134">
        <f t="shared" si="106"/>
        <v>24276.3</v>
      </c>
      <c r="AD162" s="135">
        <v>1.0019417475728154</v>
      </c>
      <c r="AE162" s="136">
        <f t="shared" si="139"/>
        <v>24323.438446601936</v>
      </c>
      <c r="AF162" s="137">
        <f>SUM(AE160:AE162)</f>
        <v>65586.95650485436</v>
      </c>
      <c r="AG162" s="195"/>
      <c r="AH162" s="147">
        <f t="shared" si="107"/>
        <v>17268.3</v>
      </c>
      <c r="AI162" s="186">
        <f t="shared" si="119"/>
        <v>17301.83067961165</v>
      </c>
      <c r="AJ162" s="187">
        <f t="shared" si="108"/>
        <v>7008</v>
      </c>
      <c r="AK162" s="186">
        <f t="shared" si="120"/>
        <v>7021.607766990291</v>
      </c>
    </row>
    <row r="163" spans="1:37" s="54" customFormat="1" ht="12.75">
      <c r="A163" s="127">
        <v>39083</v>
      </c>
      <c r="B163" s="116">
        <v>39097</v>
      </c>
      <c r="C163" s="263">
        <v>51550</v>
      </c>
      <c r="D163" s="264">
        <f t="shared" si="135"/>
        <v>1071.5</v>
      </c>
      <c r="E163" s="263" t="s">
        <v>68</v>
      </c>
      <c r="F163" s="65">
        <v>10000</v>
      </c>
      <c r="G163" s="64">
        <v>9454.1</v>
      </c>
      <c r="H163" s="63">
        <f t="shared" si="136"/>
        <v>123.10000000000036</v>
      </c>
      <c r="I163" s="58"/>
      <c r="J163" s="63"/>
      <c r="K163" s="58">
        <v>148343</v>
      </c>
      <c r="L163" s="63">
        <f t="shared" si="110"/>
        <v>3145.0499999999997</v>
      </c>
      <c r="M163" s="58"/>
      <c r="N163" s="63"/>
      <c r="O163" s="66">
        <v>28281</v>
      </c>
      <c r="P163" s="63">
        <f t="shared" si="138"/>
        <v>255.5</v>
      </c>
      <c r="Q163" s="66">
        <v>28759</v>
      </c>
      <c r="R163" s="63">
        <f t="shared" si="138"/>
        <v>775.5</v>
      </c>
      <c r="S163" s="66">
        <v>85755</v>
      </c>
      <c r="T163" s="63">
        <f t="shared" si="138"/>
        <v>1766</v>
      </c>
      <c r="U163" s="66">
        <v>13366</v>
      </c>
      <c r="V163" s="63">
        <f t="shared" si="138"/>
        <v>501</v>
      </c>
      <c r="W163" s="66">
        <v>101003</v>
      </c>
      <c r="X163" s="63">
        <f t="shared" si="138"/>
        <v>1458.5</v>
      </c>
      <c r="Y163" s="66">
        <v>26718</v>
      </c>
      <c r="Z163" s="63">
        <f t="shared" si="138"/>
        <v>499.5</v>
      </c>
      <c r="AA163" s="66">
        <v>75779</v>
      </c>
      <c r="AB163" s="63">
        <f t="shared" si="138"/>
        <v>1752</v>
      </c>
      <c r="AC163" s="140">
        <f t="shared" si="106"/>
        <v>21347.65</v>
      </c>
      <c r="AD163" s="143">
        <v>1.0019417475728154</v>
      </c>
      <c r="AE163" s="142">
        <f t="shared" si="139"/>
        <v>21389.101747572815</v>
      </c>
      <c r="AF163" s="141"/>
      <c r="AH163" s="147">
        <f t="shared" si="107"/>
        <v>14339.65</v>
      </c>
      <c r="AI163" s="186">
        <f t="shared" si="119"/>
        <v>14367.493980582522</v>
      </c>
      <c r="AJ163" s="187">
        <f t="shared" si="108"/>
        <v>7008</v>
      </c>
      <c r="AK163" s="186">
        <f t="shared" si="120"/>
        <v>7021.607766990291</v>
      </c>
    </row>
    <row r="164" spans="1:37" s="54" customFormat="1" ht="12.75">
      <c r="A164" s="127">
        <v>39114</v>
      </c>
      <c r="B164" s="116">
        <v>39128</v>
      </c>
      <c r="C164" s="250">
        <v>53166</v>
      </c>
      <c r="D164" s="192">
        <f t="shared" si="135"/>
        <v>1616</v>
      </c>
      <c r="E164" s="250" t="s">
        <v>68</v>
      </c>
      <c r="F164" s="57">
        <v>10000</v>
      </c>
      <c r="G164" s="67">
        <v>9794.3</v>
      </c>
      <c r="H164" s="59">
        <f t="shared" si="136"/>
        <v>340.1999999999989</v>
      </c>
      <c r="I164" s="58"/>
      <c r="J164" s="59"/>
      <c r="K164" s="58">
        <v>153455</v>
      </c>
      <c r="L164" s="59">
        <f t="shared" si="110"/>
        <v>7412.4</v>
      </c>
      <c r="M164" s="58"/>
      <c r="N164" s="59"/>
      <c r="O164" s="58">
        <v>30627</v>
      </c>
      <c r="P164" s="147">
        <f t="shared" si="138"/>
        <v>2346</v>
      </c>
      <c r="Q164" s="58">
        <v>30187</v>
      </c>
      <c r="R164" s="147">
        <f t="shared" si="138"/>
        <v>1428</v>
      </c>
      <c r="S164" s="58">
        <v>89029</v>
      </c>
      <c r="T164" s="147">
        <f t="shared" si="138"/>
        <v>3274</v>
      </c>
      <c r="U164" s="58">
        <v>14253</v>
      </c>
      <c r="V164" s="147">
        <f t="shared" si="138"/>
        <v>887</v>
      </c>
      <c r="W164" s="58">
        <v>103732</v>
      </c>
      <c r="X164" s="147">
        <f t="shared" si="138"/>
        <v>2729</v>
      </c>
      <c r="Y164" s="58">
        <v>28502</v>
      </c>
      <c r="Z164" s="147">
        <f t="shared" si="138"/>
        <v>1784</v>
      </c>
      <c r="AA164" s="58">
        <v>78976</v>
      </c>
      <c r="AB164" s="59">
        <f t="shared" si="138"/>
        <v>3197</v>
      </c>
      <c r="AC164" s="140">
        <f t="shared" si="106"/>
        <v>35013.6</v>
      </c>
      <c r="AD164" s="145">
        <v>1.0019417475728154</v>
      </c>
      <c r="AE164" s="157">
        <f t="shared" si="139"/>
        <v>35081.58757281553</v>
      </c>
      <c r="AF164" s="158"/>
      <c r="AH164" s="147">
        <f t="shared" si="107"/>
        <v>19368.6</v>
      </c>
      <c r="AI164" s="186">
        <f t="shared" si="119"/>
        <v>19406.20893203883</v>
      </c>
      <c r="AJ164" s="187">
        <f t="shared" si="108"/>
        <v>15645</v>
      </c>
      <c r="AK164" s="186">
        <f t="shared" si="120"/>
        <v>15675.378640776697</v>
      </c>
    </row>
    <row r="165" spans="1:37" s="54" customFormat="1" ht="13.5" thickBot="1">
      <c r="A165" s="127">
        <v>39142</v>
      </c>
      <c r="B165" s="116">
        <v>39156</v>
      </c>
      <c r="C165" s="250">
        <v>54422</v>
      </c>
      <c r="D165" s="194">
        <f t="shared" si="135"/>
        <v>1256</v>
      </c>
      <c r="E165" s="191" t="s">
        <v>68</v>
      </c>
      <c r="F165" s="61">
        <v>8000</v>
      </c>
      <c r="G165" s="60">
        <v>10031.6</v>
      </c>
      <c r="H165" s="70">
        <f t="shared" si="136"/>
        <v>237.3000000000011</v>
      </c>
      <c r="I165" s="60"/>
      <c r="J165" s="59"/>
      <c r="K165" s="60">
        <v>156826</v>
      </c>
      <c r="L165" s="59">
        <f t="shared" si="110"/>
        <v>4887.95</v>
      </c>
      <c r="M165" s="60"/>
      <c r="N165" s="59"/>
      <c r="O165" s="60">
        <v>31544</v>
      </c>
      <c r="P165" s="148">
        <f t="shared" si="138"/>
        <v>917</v>
      </c>
      <c r="Q165" s="60">
        <v>31113</v>
      </c>
      <c r="R165" s="148">
        <f t="shared" si="138"/>
        <v>926</v>
      </c>
      <c r="S165" s="60">
        <v>91187</v>
      </c>
      <c r="T165" s="148">
        <f t="shared" si="138"/>
        <v>2158</v>
      </c>
      <c r="U165" s="60">
        <v>14823</v>
      </c>
      <c r="V165" s="148">
        <f t="shared" si="138"/>
        <v>570</v>
      </c>
      <c r="W165" s="60">
        <v>105536</v>
      </c>
      <c r="X165" s="148">
        <f t="shared" si="138"/>
        <v>1804</v>
      </c>
      <c r="Y165" s="60">
        <v>29385</v>
      </c>
      <c r="Z165" s="148">
        <f t="shared" si="138"/>
        <v>883</v>
      </c>
      <c r="AA165" s="60">
        <v>81089</v>
      </c>
      <c r="AB165" s="70">
        <f t="shared" si="138"/>
        <v>2113</v>
      </c>
      <c r="AC165" s="134">
        <f t="shared" si="106"/>
        <v>23752.25</v>
      </c>
      <c r="AD165" s="135">
        <v>1.0019417475728154</v>
      </c>
      <c r="AE165" s="136">
        <f t="shared" si="139"/>
        <v>23798.370873786404</v>
      </c>
      <c r="AF165" s="137">
        <f>SUM(AE163:AE165)</f>
        <v>80269.06019417474</v>
      </c>
      <c r="AG165" s="195"/>
      <c r="AH165" s="147">
        <f t="shared" si="107"/>
        <v>14381.25</v>
      </c>
      <c r="AI165" s="186">
        <f t="shared" si="119"/>
        <v>14409.174757281551</v>
      </c>
      <c r="AJ165" s="187">
        <f t="shared" si="108"/>
        <v>9371</v>
      </c>
      <c r="AK165" s="186">
        <f t="shared" si="120"/>
        <v>9389.196116504852</v>
      </c>
    </row>
    <row r="166" spans="1:37" s="54" customFormat="1" ht="12.75">
      <c r="A166" s="127">
        <v>39173</v>
      </c>
      <c r="B166" s="116">
        <v>39188</v>
      </c>
      <c r="C166" s="263">
        <v>56158.4</v>
      </c>
      <c r="D166" s="264">
        <f t="shared" si="135"/>
        <v>1736.4000000000015</v>
      </c>
      <c r="E166" s="263" t="s">
        <v>68</v>
      </c>
      <c r="F166" s="65">
        <v>800</v>
      </c>
      <c r="G166" s="64">
        <v>10037.12</v>
      </c>
      <c r="H166" s="63">
        <f t="shared" si="136"/>
        <v>5.520000000000437</v>
      </c>
      <c r="I166" s="66"/>
      <c r="J166" s="63"/>
      <c r="K166" s="66">
        <v>161522</v>
      </c>
      <c r="L166" s="63">
        <f t="shared" si="110"/>
        <v>6809.2</v>
      </c>
      <c r="M166" s="66"/>
      <c r="N166" s="63"/>
      <c r="O166" s="66">
        <v>32350</v>
      </c>
      <c r="P166" s="63">
        <f t="shared" si="138"/>
        <v>806</v>
      </c>
      <c r="Q166" s="66">
        <v>31887</v>
      </c>
      <c r="R166" s="63">
        <f t="shared" si="138"/>
        <v>774</v>
      </c>
      <c r="S166" s="66">
        <v>93068</v>
      </c>
      <c r="T166" s="63">
        <f t="shared" si="138"/>
        <v>1881</v>
      </c>
      <c r="U166" s="66">
        <v>15344</v>
      </c>
      <c r="V166" s="63">
        <f t="shared" si="138"/>
        <v>521</v>
      </c>
      <c r="W166" s="66">
        <v>107068</v>
      </c>
      <c r="X166" s="63">
        <f t="shared" si="138"/>
        <v>1532</v>
      </c>
      <c r="Y166" s="66">
        <v>30158</v>
      </c>
      <c r="Z166" s="63">
        <f t="shared" si="138"/>
        <v>773</v>
      </c>
      <c r="AA166" s="66">
        <v>82891</v>
      </c>
      <c r="AB166" s="63">
        <f t="shared" si="138"/>
        <v>1802</v>
      </c>
      <c r="AC166" s="140">
        <f t="shared" si="106"/>
        <v>17440.120000000003</v>
      </c>
      <c r="AD166" s="143">
        <v>1.0019417475728154</v>
      </c>
      <c r="AE166" s="142">
        <f t="shared" si="139"/>
        <v>17473.98431067961</v>
      </c>
      <c r="AF166" s="141"/>
      <c r="AH166" s="147">
        <f t="shared" si="107"/>
        <v>9351.120000000003</v>
      </c>
      <c r="AI166" s="186">
        <f t="shared" si="119"/>
        <v>9369.277514563108</v>
      </c>
      <c r="AJ166" s="187">
        <f t="shared" si="108"/>
        <v>8089</v>
      </c>
      <c r="AK166" s="186">
        <f t="shared" si="120"/>
        <v>8104.706796116504</v>
      </c>
    </row>
    <row r="167" spans="1:37" s="115" customFormat="1" ht="12.75">
      <c r="A167" s="127">
        <v>39203</v>
      </c>
      <c r="B167" s="116">
        <v>39219</v>
      </c>
      <c r="C167" s="250">
        <v>57176.1</v>
      </c>
      <c r="D167" s="192">
        <f t="shared" si="135"/>
        <v>1017.6999999999971</v>
      </c>
      <c r="E167" s="250" t="s">
        <v>68</v>
      </c>
      <c r="F167" s="57">
        <v>50</v>
      </c>
      <c r="G167" s="58">
        <v>10053.38</v>
      </c>
      <c r="H167" s="59">
        <f>(G167-G166)</f>
        <v>16.2599999999984</v>
      </c>
      <c r="I167" s="58"/>
      <c r="J167" s="59"/>
      <c r="K167" s="58">
        <v>163387</v>
      </c>
      <c r="L167" s="59">
        <f t="shared" si="110"/>
        <v>2704.25</v>
      </c>
      <c r="M167" s="58"/>
      <c r="N167" s="59"/>
      <c r="O167" s="58">
        <v>32615</v>
      </c>
      <c r="P167" s="147">
        <f t="shared" si="138"/>
        <v>265</v>
      </c>
      <c r="Q167" s="58">
        <v>32158</v>
      </c>
      <c r="R167" s="147">
        <f t="shared" si="138"/>
        <v>271</v>
      </c>
      <c r="S167" s="58">
        <v>93748</v>
      </c>
      <c r="T167" s="147">
        <f t="shared" si="138"/>
        <v>680</v>
      </c>
      <c r="U167" s="58">
        <v>15434</v>
      </c>
      <c r="V167" s="147">
        <f t="shared" si="138"/>
        <v>90</v>
      </c>
      <c r="W167" s="58">
        <v>107626</v>
      </c>
      <c r="X167" s="147">
        <f t="shared" si="138"/>
        <v>558</v>
      </c>
      <c r="Y167" s="58">
        <v>30429</v>
      </c>
      <c r="Z167" s="147">
        <f t="shared" si="138"/>
        <v>271</v>
      </c>
      <c r="AA167" s="58">
        <v>83560</v>
      </c>
      <c r="AB167" s="147">
        <f t="shared" si="138"/>
        <v>669</v>
      </c>
      <c r="AC167" s="140">
        <f t="shared" si="106"/>
        <v>6592.2099999999955</v>
      </c>
      <c r="AD167" s="145">
        <v>1.0019417475728154</v>
      </c>
      <c r="AE167" s="157">
        <f t="shared" si="139"/>
        <v>6605.010407766985</v>
      </c>
      <c r="AF167" s="158"/>
      <c r="AH167" s="147">
        <f t="shared" si="107"/>
        <v>3788.2099999999955</v>
      </c>
      <c r="AI167" s="186">
        <f t="shared" si="119"/>
        <v>3795.5657475728103</v>
      </c>
      <c r="AJ167" s="187">
        <f t="shared" si="108"/>
        <v>2804</v>
      </c>
      <c r="AK167" s="186">
        <f t="shared" si="120"/>
        <v>2809.4446601941745</v>
      </c>
    </row>
    <row r="168" spans="1:37" s="115" customFormat="1" ht="13.5" thickBot="1">
      <c r="A168" s="127">
        <v>39234</v>
      </c>
      <c r="B168" s="178">
        <v>39246</v>
      </c>
      <c r="C168" s="191">
        <v>57496</v>
      </c>
      <c r="D168" s="194">
        <f t="shared" si="135"/>
        <v>319.90000000000146</v>
      </c>
      <c r="E168" s="191" t="s">
        <v>68</v>
      </c>
      <c r="F168" s="61">
        <v>50</v>
      </c>
      <c r="G168" s="69">
        <v>10063.4</v>
      </c>
      <c r="H168" s="70">
        <f t="shared" si="136"/>
        <v>10.020000000000437</v>
      </c>
      <c r="I168" s="60"/>
      <c r="J168" s="70"/>
      <c r="K168" s="60">
        <v>163886</v>
      </c>
      <c r="L168" s="70">
        <f t="shared" si="110"/>
        <v>723.55</v>
      </c>
      <c r="M168" s="60"/>
      <c r="N168" s="70"/>
      <c r="O168" s="60">
        <v>32777</v>
      </c>
      <c r="P168" s="148">
        <f t="shared" si="138"/>
        <v>162</v>
      </c>
      <c r="Q168" s="60">
        <v>32376</v>
      </c>
      <c r="R168" s="148">
        <f t="shared" si="138"/>
        <v>218</v>
      </c>
      <c r="S168" s="60">
        <v>94058</v>
      </c>
      <c r="T168" s="148">
        <f t="shared" si="138"/>
        <v>310</v>
      </c>
      <c r="U168" s="60">
        <v>15467</v>
      </c>
      <c r="V168" s="148">
        <f t="shared" si="138"/>
        <v>33</v>
      </c>
      <c r="W168" s="60">
        <v>107866</v>
      </c>
      <c r="X168" s="148">
        <f t="shared" si="138"/>
        <v>240</v>
      </c>
      <c r="Y168" s="60">
        <v>30592</v>
      </c>
      <c r="Z168" s="148">
        <f t="shared" si="138"/>
        <v>163</v>
      </c>
      <c r="AA168" s="60">
        <f>(AA169-AA167)/2+AA167</f>
        <v>84071</v>
      </c>
      <c r="AB168" s="148">
        <f t="shared" si="138"/>
        <v>511</v>
      </c>
      <c r="AC168" s="134">
        <f t="shared" si="106"/>
        <v>2740.470000000002</v>
      </c>
      <c r="AD168" s="135">
        <v>1.0019417475728154</v>
      </c>
      <c r="AE168" s="136">
        <f t="shared" si="139"/>
        <v>2745.7913009708755</v>
      </c>
      <c r="AF168" s="137">
        <f>SUM(AE166:AE168)</f>
        <v>26824.786019417472</v>
      </c>
      <c r="AG168" s="195"/>
      <c r="AH168" s="147">
        <f t="shared" si="107"/>
        <v>1103.4700000000018</v>
      </c>
      <c r="AI168" s="186">
        <f t="shared" si="119"/>
        <v>1105.6126601941764</v>
      </c>
      <c r="AJ168" s="187">
        <f t="shared" si="108"/>
        <v>1637</v>
      </c>
      <c r="AK168" s="186">
        <f t="shared" si="120"/>
        <v>1640.1786407766988</v>
      </c>
    </row>
    <row r="169" spans="1:37" s="54" customFormat="1" ht="12.75">
      <c r="A169" s="127">
        <v>39264</v>
      </c>
      <c r="B169" s="122">
        <v>39280</v>
      </c>
      <c r="C169" s="263">
        <v>57900</v>
      </c>
      <c r="D169" s="264">
        <f aca="true" t="shared" si="140" ref="D169:D180">(C169-C168)</f>
        <v>404</v>
      </c>
      <c r="E169" s="263" t="s">
        <v>68</v>
      </c>
      <c r="F169" s="57">
        <v>125</v>
      </c>
      <c r="G169" s="66">
        <v>10075.03</v>
      </c>
      <c r="H169" s="63">
        <f aca="true" t="shared" si="141" ref="H169:H182">(G169-G168)</f>
        <v>11.630000000001019</v>
      </c>
      <c r="I169" s="66"/>
      <c r="J169" s="63"/>
      <c r="K169" s="66">
        <v>165688</v>
      </c>
      <c r="L169" s="63">
        <f aca="true" t="shared" si="142" ref="L169:L180">(K169-K168)*1.45</f>
        <v>2612.9</v>
      </c>
      <c r="M169" s="66"/>
      <c r="N169" s="63"/>
      <c r="O169" s="68">
        <f>($O$171-O168)/3+$O$168</f>
        <v>32986</v>
      </c>
      <c r="P169" s="63">
        <f>O169-O168</f>
        <v>209</v>
      </c>
      <c r="Q169" s="66">
        <v>32663</v>
      </c>
      <c r="R169" s="63">
        <f t="shared" si="138"/>
        <v>287</v>
      </c>
      <c r="S169" s="66">
        <v>94380</v>
      </c>
      <c r="T169" s="63">
        <f t="shared" si="138"/>
        <v>322</v>
      </c>
      <c r="U169" s="66">
        <v>15494</v>
      </c>
      <c r="V169" s="63">
        <f t="shared" si="138"/>
        <v>27</v>
      </c>
      <c r="W169" s="66">
        <v>108112</v>
      </c>
      <c r="X169" s="63">
        <f t="shared" si="138"/>
        <v>246</v>
      </c>
      <c r="Y169" s="66">
        <v>30801</v>
      </c>
      <c r="Z169" s="63">
        <f t="shared" si="138"/>
        <v>209</v>
      </c>
      <c r="AA169" s="66">
        <v>84582</v>
      </c>
      <c r="AB169" s="63">
        <f t="shared" si="138"/>
        <v>511</v>
      </c>
      <c r="AC169" s="140">
        <f t="shared" si="106"/>
        <v>4964.530000000001</v>
      </c>
      <c r="AD169" s="143">
        <v>1.1106796116504851</v>
      </c>
      <c r="AE169" s="157">
        <f>AC169*AD169</f>
        <v>5514.0022524271835</v>
      </c>
      <c r="AF169" s="141"/>
      <c r="AG169" s="456">
        <v>700</v>
      </c>
      <c r="AH169" s="147">
        <f t="shared" si="107"/>
        <v>3153.530000000001</v>
      </c>
      <c r="AI169" s="186">
        <f t="shared" si="119"/>
        <v>3502.5614757281555</v>
      </c>
      <c r="AJ169" s="187">
        <f t="shared" si="108"/>
        <v>1811</v>
      </c>
      <c r="AK169" s="186">
        <f t="shared" si="120"/>
        <v>2011.4407766990284</v>
      </c>
    </row>
    <row r="170" spans="1:37" s="54" customFormat="1" ht="12.75">
      <c r="A170" s="127">
        <v>39295</v>
      </c>
      <c r="B170" s="122">
        <v>39309</v>
      </c>
      <c r="C170" s="250">
        <v>58239.8</v>
      </c>
      <c r="D170" s="192">
        <f t="shared" si="140"/>
        <v>339.8000000000029</v>
      </c>
      <c r="E170" s="250" t="s">
        <v>68</v>
      </c>
      <c r="F170" s="57">
        <v>500</v>
      </c>
      <c r="G170" s="58">
        <v>10083.81</v>
      </c>
      <c r="H170" s="59">
        <f>(G170-G169)</f>
        <v>8.779999999998836</v>
      </c>
      <c r="I170" s="58"/>
      <c r="J170" s="59"/>
      <c r="K170" s="58">
        <v>167509</v>
      </c>
      <c r="L170" s="59">
        <f t="shared" si="142"/>
        <v>2640.45</v>
      </c>
      <c r="M170" s="58"/>
      <c r="N170" s="59"/>
      <c r="O170" s="68">
        <f>($O$171-O168)/3+O169</f>
        <v>33195</v>
      </c>
      <c r="P170" s="147">
        <f>O170-O169</f>
        <v>209</v>
      </c>
      <c r="Q170" s="58">
        <v>32869</v>
      </c>
      <c r="R170" s="147">
        <f t="shared" si="138"/>
        <v>206</v>
      </c>
      <c r="S170" s="58">
        <v>94638</v>
      </c>
      <c r="T170" s="147">
        <f t="shared" si="138"/>
        <v>258</v>
      </c>
      <c r="U170" s="58">
        <v>15517</v>
      </c>
      <c r="V170" s="147">
        <f t="shared" si="138"/>
        <v>23</v>
      </c>
      <c r="W170" s="58">
        <v>108294</v>
      </c>
      <c r="X170" s="147">
        <f t="shared" si="138"/>
        <v>182</v>
      </c>
      <c r="Y170" s="58">
        <v>30967</v>
      </c>
      <c r="Z170" s="147">
        <f t="shared" si="138"/>
        <v>166</v>
      </c>
      <c r="AA170" s="58">
        <v>85089</v>
      </c>
      <c r="AB170" s="147">
        <f t="shared" si="138"/>
        <v>507</v>
      </c>
      <c r="AC170" s="140">
        <f t="shared" si="106"/>
        <v>5040.030000000002</v>
      </c>
      <c r="AD170" s="145">
        <v>1.1106796116504851</v>
      </c>
      <c r="AE170" s="157">
        <f>AC170*AD170</f>
        <v>5597.858563106796</v>
      </c>
      <c r="AF170" s="158"/>
      <c r="AG170" s="59">
        <v>626</v>
      </c>
      <c r="AH170" s="147">
        <f t="shared" si="107"/>
        <v>3489.0300000000016</v>
      </c>
      <c r="AI170" s="186">
        <f t="shared" si="119"/>
        <v>3875.194485436894</v>
      </c>
      <c r="AJ170" s="187">
        <f t="shared" si="108"/>
        <v>1551</v>
      </c>
      <c r="AK170" s="186">
        <f t="shared" si="120"/>
        <v>1722.6640776699023</v>
      </c>
    </row>
    <row r="171" spans="1:37" s="54" customFormat="1" ht="13.5" thickBot="1">
      <c r="A171" s="127">
        <v>39326</v>
      </c>
      <c r="B171" s="122">
        <v>39344</v>
      </c>
      <c r="C171" s="250">
        <v>59169.73</v>
      </c>
      <c r="D171" s="192">
        <f t="shared" si="140"/>
        <v>929.9300000000003</v>
      </c>
      <c r="E171" s="191" t="s">
        <v>68</v>
      </c>
      <c r="F171" s="61">
        <v>1500</v>
      </c>
      <c r="G171" s="58">
        <v>10633</v>
      </c>
      <c r="H171" s="59">
        <f t="shared" si="141"/>
        <v>549.1900000000005</v>
      </c>
      <c r="I171" s="60"/>
      <c r="J171" s="59"/>
      <c r="K171" s="58">
        <v>170491</v>
      </c>
      <c r="L171" s="59">
        <f t="shared" si="142"/>
        <v>4323.9</v>
      </c>
      <c r="M171" s="60"/>
      <c r="N171" s="70"/>
      <c r="O171" s="58">
        <v>33404</v>
      </c>
      <c r="P171" s="148">
        <f t="shared" si="138"/>
        <v>209</v>
      </c>
      <c r="Q171" s="58">
        <v>33177</v>
      </c>
      <c r="R171" s="147">
        <f t="shared" si="138"/>
        <v>308</v>
      </c>
      <c r="S171" s="58">
        <v>95293</v>
      </c>
      <c r="T171" s="147">
        <f t="shared" si="138"/>
        <v>655</v>
      </c>
      <c r="U171" s="58">
        <v>15546</v>
      </c>
      <c r="V171" s="147">
        <f t="shared" si="138"/>
        <v>29</v>
      </c>
      <c r="W171" s="58">
        <v>109700</v>
      </c>
      <c r="X171" s="147">
        <f t="shared" si="138"/>
        <v>1406</v>
      </c>
      <c r="Y171" s="58">
        <v>31273</v>
      </c>
      <c r="Z171" s="147">
        <f t="shared" si="138"/>
        <v>306</v>
      </c>
      <c r="AA171" s="58">
        <v>85779</v>
      </c>
      <c r="AB171" s="147">
        <f t="shared" si="138"/>
        <v>690</v>
      </c>
      <c r="AC171" s="134">
        <f t="shared" si="106"/>
        <v>10906.02</v>
      </c>
      <c r="AD171" s="135">
        <v>1.1106796116504851</v>
      </c>
      <c r="AE171" s="136">
        <f>IF(AC171="","",AC171*AD171)</f>
        <v>12113.094058252424</v>
      </c>
      <c r="AF171" s="137">
        <f>SUM(AE169:AE171)</f>
        <v>23224.954873786402</v>
      </c>
      <c r="AG171" s="59">
        <v>569</v>
      </c>
      <c r="AH171" s="147">
        <f t="shared" si="107"/>
        <v>7303.02</v>
      </c>
      <c r="AI171" s="186">
        <f t="shared" si="119"/>
        <v>8111.3154174757265</v>
      </c>
      <c r="AJ171" s="187">
        <f t="shared" si="108"/>
        <v>3603</v>
      </c>
      <c r="AK171" s="186">
        <f t="shared" si="120"/>
        <v>4001.778640776698</v>
      </c>
    </row>
    <row r="172" spans="1:37" s="54" customFormat="1" ht="12.75">
      <c r="A172" s="127">
        <v>39356</v>
      </c>
      <c r="B172" s="116">
        <v>39370</v>
      </c>
      <c r="C172" s="263">
        <v>60311.9</v>
      </c>
      <c r="D172" s="264">
        <f t="shared" si="140"/>
        <v>1142.1699999999983</v>
      </c>
      <c r="E172" s="284" t="s">
        <v>68</v>
      </c>
      <c r="F172" s="57">
        <v>3000</v>
      </c>
      <c r="G172" s="66">
        <v>11418.3</v>
      </c>
      <c r="H172" s="63">
        <f t="shared" si="141"/>
        <v>785.2999999999993</v>
      </c>
      <c r="I172" s="67"/>
      <c r="J172" s="63"/>
      <c r="K172" s="66">
        <v>173801</v>
      </c>
      <c r="L172" s="63">
        <f t="shared" si="142"/>
        <v>4799.5</v>
      </c>
      <c r="M172" s="58"/>
      <c r="N172" s="63"/>
      <c r="O172" s="66">
        <v>33681</v>
      </c>
      <c r="P172" s="63">
        <f aca="true" t="shared" si="143" ref="P172:P179">O172-O171</f>
        <v>277</v>
      </c>
      <c r="Q172" s="66">
        <v>33439</v>
      </c>
      <c r="R172" s="63">
        <f t="shared" si="138"/>
        <v>262</v>
      </c>
      <c r="S172" s="66">
        <v>95809</v>
      </c>
      <c r="T172" s="63">
        <f t="shared" si="138"/>
        <v>516</v>
      </c>
      <c r="U172" s="66">
        <v>15574</v>
      </c>
      <c r="V172" s="63">
        <f t="shared" si="138"/>
        <v>28</v>
      </c>
      <c r="W172" s="66">
        <v>109857</v>
      </c>
      <c r="X172" s="63">
        <f t="shared" si="138"/>
        <v>157</v>
      </c>
      <c r="Y172" s="66">
        <v>31590</v>
      </c>
      <c r="Z172" s="63">
        <f t="shared" si="138"/>
        <v>317</v>
      </c>
      <c r="AA172" s="66">
        <v>86421</v>
      </c>
      <c r="AB172" s="63">
        <f t="shared" si="138"/>
        <v>642</v>
      </c>
      <c r="AC172" s="174">
        <f t="shared" si="106"/>
        <v>11925.969999999998</v>
      </c>
      <c r="AD172" s="143">
        <v>1.1106796116504851</v>
      </c>
      <c r="AE172" s="142">
        <f>IF(AC172="","",AC172*AD172)</f>
        <v>13245.931728155334</v>
      </c>
      <c r="AF172" s="141"/>
      <c r="AG172" s="59">
        <v>728</v>
      </c>
      <c r="AH172" s="147">
        <f t="shared" si="107"/>
        <v>9726.969999999998</v>
      </c>
      <c r="AI172" s="186">
        <f t="shared" si="119"/>
        <v>10803.547262135917</v>
      </c>
      <c r="AJ172" s="187">
        <f t="shared" si="108"/>
        <v>2199</v>
      </c>
      <c r="AK172" s="186">
        <f t="shared" si="120"/>
        <v>2442.384466019417</v>
      </c>
    </row>
    <row r="173" spans="1:37" s="54" customFormat="1" ht="12.75">
      <c r="A173" s="127">
        <v>39387</v>
      </c>
      <c r="B173" s="116">
        <v>39405</v>
      </c>
      <c r="C173" s="250">
        <v>62260.4</v>
      </c>
      <c r="D173" s="192">
        <f t="shared" si="140"/>
        <v>1948.5</v>
      </c>
      <c r="E173" s="316" t="s">
        <v>68</v>
      </c>
      <c r="F173" s="57">
        <v>5000</v>
      </c>
      <c r="G173" s="58">
        <v>11903.5</v>
      </c>
      <c r="H173" s="59">
        <f t="shared" si="141"/>
        <v>485.2000000000007</v>
      </c>
      <c r="I173" s="67"/>
      <c r="J173" s="59"/>
      <c r="K173" s="58">
        <v>178724</v>
      </c>
      <c r="L173" s="59">
        <f t="shared" si="142"/>
        <v>7138.349999999999</v>
      </c>
      <c r="M173" s="58"/>
      <c r="N173" s="59"/>
      <c r="O173" s="58">
        <v>34230</v>
      </c>
      <c r="P173" s="59">
        <f t="shared" si="143"/>
        <v>549</v>
      </c>
      <c r="Q173" s="58">
        <v>33966</v>
      </c>
      <c r="R173" s="59">
        <f t="shared" si="138"/>
        <v>527</v>
      </c>
      <c r="S173" s="58">
        <v>97213</v>
      </c>
      <c r="T173" s="59">
        <f t="shared" si="138"/>
        <v>1404</v>
      </c>
      <c r="U173" s="58">
        <v>15833</v>
      </c>
      <c r="V173" s="59">
        <f t="shared" si="138"/>
        <v>259</v>
      </c>
      <c r="W173" s="58">
        <v>110534</v>
      </c>
      <c r="X173" s="59">
        <f t="shared" si="138"/>
        <v>677</v>
      </c>
      <c r="Y173" s="58">
        <v>32242</v>
      </c>
      <c r="Z173" s="59">
        <f t="shared" si="138"/>
        <v>652</v>
      </c>
      <c r="AA173" s="58">
        <v>87653</v>
      </c>
      <c r="AB173" s="59">
        <f t="shared" si="138"/>
        <v>1232</v>
      </c>
      <c r="AC173" s="174">
        <f t="shared" si="106"/>
        <v>19872.05</v>
      </c>
      <c r="AD173" s="145">
        <v>1.1106796116504851</v>
      </c>
      <c r="AE173" s="157">
        <f aca="true" t="shared" si="144" ref="AE173:AE180">IF(AC173="","",AC173*AD173)</f>
        <v>22071.480776699023</v>
      </c>
      <c r="AF173" s="158"/>
      <c r="AG173" s="59">
        <v>916</v>
      </c>
      <c r="AH173" s="147">
        <f aca="true" t="shared" si="145" ref="AH173:AH192">D173+F173+H173+L173</f>
        <v>14572.05</v>
      </c>
      <c r="AI173" s="186">
        <f aca="true" t="shared" si="146" ref="AI173:AI192">AH173*AD173</f>
        <v>16184.87883495145</v>
      </c>
      <c r="AJ173" s="187">
        <f aca="true" t="shared" si="147" ref="AJ173:AJ192">P173+R173+T173+V173+X173+Z173+AB173</f>
        <v>5300</v>
      </c>
      <c r="AK173" s="186">
        <f aca="true" t="shared" si="148" ref="AK173:AK192">AJ173*AD173</f>
        <v>5886.601941747571</v>
      </c>
    </row>
    <row r="174" spans="1:39" s="76" customFormat="1" ht="13.5" thickBot="1">
      <c r="A174" s="127">
        <v>39417</v>
      </c>
      <c r="B174" s="116">
        <v>39433</v>
      </c>
      <c r="C174" s="191">
        <v>63733</v>
      </c>
      <c r="D174" s="192">
        <f t="shared" si="140"/>
        <v>1472.5999999999985</v>
      </c>
      <c r="E174" s="193" t="s">
        <v>68</v>
      </c>
      <c r="F174" s="194">
        <v>5000</v>
      </c>
      <c r="G174" s="191">
        <v>12193.4</v>
      </c>
      <c r="H174" s="192">
        <f t="shared" si="141"/>
        <v>289.89999999999964</v>
      </c>
      <c r="I174" s="193"/>
      <c r="J174" s="192"/>
      <c r="K174" s="191">
        <v>182489</v>
      </c>
      <c r="L174" s="192">
        <f t="shared" si="142"/>
        <v>5459.25</v>
      </c>
      <c r="M174" s="191"/>
      <c r="N174" s="192"/>
      <c r="O174" s="191">
        <v>35107</v>
      </c>
      <c r="P174" s="192">
        <f t="shared" si="143"/>
        <v>877</v>
      </c>
      <c r="Q174" s="191">
        <v>34793</v>
      </c>
      <c r="R174" s="192">
        <f t="shared" si="138"/>
        <v>827</v>
      </c>
      <c r="S174" s="191">
        <v>99367</v>
      </c>
      <c r="T174" s="192">
        <f t="shared" si="138"/>
        <v>2154</v>
      </c>
      <c r="U174" s="191">
        <v>16528</v>
      </c>
      <c r="V174" s="192">
        <f t="shared" si="138"/>
        <v>695</v>
      </c>
      <c r="W174" s="191">
        <v>112406</v>
      </c>
      <c r="X174" s="192">
        <f t="shared" si="138"/>
        <v>1872</v>
      </c>
      <c r="Y174" s="191">
        <v>33234</v>
      </c>
      <c r="Z174" s="192">
        <f t="shared" si="138"/>
        <v>992</v>
      </c>
      <c r="AA174" s="191">
        <v>89595</v>
      </c>
      <c r="AB174" s="192">
        <f t="shared" si="138"/>
        <v>1942</v>
      </c>
      <c r="AC174" s="351">
        <f>D174+F174+H174+L174+P174+R174+T174+V174+X174+Z174+AB174</f>
        <v>21580.75</v>
      </c>
      <c r="AD174" s="276">
        <v>1.1106796116504851</v>
      </c>
      <c r="AE174" s="352">
        <f t="shared" si="144"/>
        <v>23969.299029126207</v>
      </c>
      <c r="AF174" s="278">
        <f>SUM(AE172:AE174)</f>
        <v>59286.71153398056</v>
      </c>
      <c r="AG174" s="59">
        <v>1536</v>
      </c>
      <c r="AH174" s="147">
        <f t="shared" si="145"/>
        <v>12221.749999999998</v>
      </c>
      <c r="AI174" s="186">
        <f t="shared" si="146"/>
        <v>13574.448543689314</v>
      </c>
      <c r="AJ174" s="187">
        <f t="shared" si="147"/>
        <v>9359</v>
      </c>
      <c r="AK174" s="186">
        <f t="shared" si="148"/>
        <v>10394.85048543689</v>
      </c>
      <c r="AM174" s="54"/>
    </row>
    <row r="175" spans="1:37" s="54" customFormat="1" ht="12.75">
      <c r="A175" s="322">
        <v>39448</v>
      </c>
      <c r="B175" s="116">
        <v>39461</v>
      </c>
      <c r="C175" s="263">
        <v>64551.8</v>
      </c>
      <c r="D175" s="264">
        <f t="shared" si="140"/>
        <v>818.8000000000029</v>
      </c>
      <c r="E175" s="263" t="s">
        <v>68</v>
      </c>
      <c r="F175" s="65">
        <v>5000</v>
      </c>
      <c r="G175" s="66">
        <v>12304.5</v>
      </c>
      <c r="H175" s="63">
        <f t="shared" si="141"/>
        <v>111.10000000000036</v>
      </c>
      <c r="I175" s="58"/>
      <c r="J175" s="63"/>
      <c r="K175" s="66">
        <v>184208</v>
      </c>
      <c r="L175" s="63">
        <f t="shared" si="142"/>
        <v>2492.5499999999997</v>
      </c>
      <c r="M175" s="58"/>
      <c r="N175" s="63"/>
      <c r="O175" s="66">
        <v>35902</v>
      </c>
      <c r="P175" s="63">
        <f t="shared" si="143"/>
        <v>795</v>
      </c>
      <c r="Q175" s="66">
        <v>35563</v>
      </c>
      <c r="R175" s="63">
        <f>Q175-Q174</f>
        <v>770</v>
      </c>
      <c r="S175" s="66">
        <v>101292</v>
      </c>
      <c r="T175" s="63">
        <f>S175-S174</f>
        <v>1925</v>
      </c>
      <c r="U175" s="66">
        <v>16175</v>
      </c>
      <c r="V175" s="63">
        <f>U175-U174</f>
        <v>-353</v>
      </c>
      <c r="W175" s="66">
        <v>114089</v>
      </c>
      <c r="X175" s="63">
        <f>W175-W174</f>
        <v>1683</v>
      </c>
      <c r="Y175" s="66">
        <v>34151</v>
      </c>
      <c r="Z175" s="63">
        <f>Y175-Y174</f>
        <v>917</v>
      </c>
      <c r="AA175" s="66">
        <v>91329</v>
      </c>
      <c r="AB175" s="63">
        <f>AA175-AA174</f>
        <v>1734</v>
      </c>
      <c r="AC175" s="140">
        <f t="shared" si="106"/>
        <v>15893.450000000003</v>
      </c>
      <c r="AD175" s="143">
        <v>1.1106796116504851</v>
      </c>
      <c r="AE175" s="142">
        <f t="shared" si="144"/>
        <v>17652.530873786407</v>
      </c>
      <c r="AF175" s="141"/>
      <c r="AG175" s="59">
        <v>2307</v>
      </c>
      <c r="AH175" s="147">
        <f t="shared" si="145"/>
        <v>8422.450000000003</v>
      </c>
      <c r="AI175" s="186">
        <f t="shared" si="146"/>
        <v>9354.64349514563</v>
      </c>
      <c r="AJ175" s="187">
        <f t="shared" si="147"/>
        <v>7471</v>
      </c>
      <c r="AK175" s="186">
        <f t="shared" si="148"/>
        <v>8297.887378640775</v>
      </c>
    </row>
    <row r="176" spans="1:37" s="54" customFormat="1" ht="12.75">
      <c r="A176" s="199">
        <v>39479</v>
      </c>
      <c r="B176" s="116">
        <v>39492</v>
      </c>
      <c r="C176" s="250">
        <v>66546.5</v>
      </c>
      <c r="D176" s="192">
        <f t="shared" si="140"/>
        <v>1994.699999999997</v>
      </c>
      <c r="E176" s="250" t="s">
        <v>68</v>
      </c>
      <c r="F176" s="57">
        <v>5000</v>
      </c>
      <c r="G176" s="58">
        <v>12684.3</v>
      </c>
      <c r="H176" s="59">
        <f t="shared" si="141"/>
        <v>379.7999999999993</v>
      </c>
      <c r="I176" s="58"/>
      <c r="J176" s="59"/>
      <c r="K176" s="58">
        <v>189368</v>
      </c>
      <c r="L176" s="59">
        <f t="shared" si="142"/>
        <v>7482</v>
      </c>
      <c r="M176" s="58"/>
      <c r="N176" s="59"/>
      <c r="O176" s="58">
        <v>37063</v>
      </c>
      <c r="P176" s="59">
        <f t="shared" si="143"/>
        <v>1161</v>
      </c>
      <c r="Q176" s="58">
        <v>36710</v>
      </c>
      <c r="R176" s="59">
        <f>Q176-Q175</f>
        <v>1147</v>
      </c>
      <c r="S176" s="58">
        <v>104270</v>
      </c>
      <c r="T176" s="59">
        <f>S176-S175</f>
        <v>2978</v>
      </c>
      <c r="U176" s="58">
        <f>U175+(U177-U175)/2</f>
        <v>17502.5</v>
      </c>
      <c r="V176" s="59">
        <f>U176-U175</f>
        <v>1327.5</v>
      </c>
      <c r="W176" s="58">
        <v>116615</v>
      </c>
      <c r="X176" s="59">
        <f>W176-W175</f>
        <v>2526</v>
      </c>
      <c r="Y176" s="58">
        <v>35406</v>
      </c>
      <c r="Z176" s="59">
        <f>Y176-Y175</f>
        <v>1255</v>
      </c>
      <c r="AA176" s="58">
        <v>94156</v>
      </c>
      <c r="AB176" s="59">
        <f>AA176-AA175</f>
        <v>2827</v>
      </c>
      <c r="AC176" s="140">
        <f t="shared" si="106"/>
        <v>28077.999999999996</v>
      </c>
      <c r="AD176" s="145">
        <v>1.1106796116504851</v>
      </c>
      <c r="AE176" s="157">
        <f t="shared" si="144"/>
        <v>31185.662135922317</v>
      </c>
      <c r="AF176" s="158"/>
      <c r="AG176" s="59">
        <v>2622</v>
      </c>
      <c r="AH176" s="147">
        <f t="shared" si="145"/>
        <v>14856.499999999996</v>
      </c>
      <c r="AI176" s="186">
        <f t="shared" si="146"/>
        <v>16500.81165048543</v>
      </c>
      <c r="AJ176" s="187">
        <f t="shared" si="147"/>
        <v>13221.5</v>
      </c>
      <c r="AK176" s="186">
        <f t="shared" si="148"/>
        <v>14684.85048543689</v>
      </c>
    </row>
    <row r="177" spans="1:37" s="54" customFormat="1" ht="13.5" thickBot="1">
      <c r="A177" s="199">
        <v>39508</v>
      </c>
      <c r="B177" s="116">
        <v>39524</v>
      </c>
      <c r="C177" s="191">
        <v>68269.79</v>
      </c>
      <c r="D177" s="192">
        <f t="shared" si="140"/>
        <v>1723.2899999999936</v>
      </c>
      <c r="E177" s="191" t="s">
        <v>68</v>
      </c>
      <c r="F177" s="61">
        <v>4000</v>
      </c>
      <c r="G177" s="71">
        <f>G176+H177</f>
        <v>12921.3</v>
      </c>
      <c r="H177" s="57">
        <v>237</v>
      </c>
      <c r="I177" s="60"/>
      <c r="J177" s="59"/>
      <c r="K177" s="60">
        <v>193487</v>
      </c>
      <c r="L177" s="59">
        <f t="shared" si="142"/>
        <v>5972.55</v>
      </c>
      <c r="M177" s="60"/>
      <c r="N177" s="59"/>
      <c r="O177" s="60">
        <v>38093</v>
      </c>
      <c r="P177" s="59">
        <f t="shared" si="143"/>
        <v>1030</v>
      </c>
      <c r="Q177" s="60">
        <v>37738</v>
      </c>
      <c r="R177" s="59">
        <f>Q177-Q176</f>
        <v>1028</v>
      </c>
      <c r="S177" s="60">
        <v>107994</v>
      </c>
      <c r="T177" s="59">
        <f>S177-S176</f>
        <v>3724</v>
      </c>
      <c r="U177" s="60">
        <v>18830</v>
      </c>
      <c r="V177" s="59">
        <f>U177-U176</f>
        <v>1327.5</v>
      </c>
      <c r="W177" s="60">
        <v>118930</v>
      </c>
      <c r="X177" s="59">
        <f>W177-W176</f>
        <v>2315</v>
      </c>
      <c r="Y177" s="60">
        <v>36645</v>
      </c>
      <c r="Z177" s="59">
        <f>Y177-Y176</f>
        <v>1239</v>
      </c>
      <c r="AA177" s="60">
        <v>96762</v>
      </c>
      <c r="AB177" s="59">
        <f>AA177-AA176</f>
        <v>2606</v>
      </c>
      <c r="AC177" s="134">
        <f t="shared" si="106"/>
        <v>25202.339999999993</v>
      </c>
      <c r="AD177" s="135">
        <v>1.1106796116504851</v>
      </c>
      <c r="AE177" s="136">
        <f t="shared" si="144"/>
        <v>27991.725203883478</v>
      </c>
      <c r="AF177" s="137">
        <f>SUM(AE175:AE177)</f>
        <v>76829.9182135922</v>
      </c>
      <c r="AG177" s="59">
        <v>2896</v>
      </c>
      <c r="AH177" s="147">
        <f t="shared" si="145"/>
        <v>11932.839999999993</v>
      </c>
      <c r="AI177" s="186">
        <f t="shared" si="146"/>
        <v>13253.562097087366</v>
      </c>
      <c r="AJ177" s="187">
        <f t="shared" si="147"/>
        <v>13269.5</v>
      </c>
      <c r="AK177" s="186">
        <f t="shared" si="148"/>
        <v>14738.163106796112</v>
      </c>
    </row>
    <row r="178" spans="1:37" s="54" customFormat="1" ht="12.75">
      <c r="A178" s="199">
        <v>39539</v>
      </c>
      <c r="B178" s="116">
        <v>39553</v>
      </c>
      <c r="C178" s="263">
        <v>69774.4</v>
      </c>
      <c r="D178" s="264">
        <f t="shared" si="140"/>
        <v>1504.6100000000006</v>
      </c>
      <c r="E178" s="263" t="s">
        <v>68</v>
      </c>
      <c r="F178" s="65">
        <v>400</v>
      </c>
      <c r="G178" s="64">
        <v>13277.4</v>
      </c>
      <c r="H178" s="63">
        <f t="shared" si="141"/>
        <v>356.10000000000036</v>
      </c>
      <c r="I178" s="66"/>
      <c r="J178" s="63"/>
      <c r="K178" s="66">
        <v>198003</v>
      </c>
      <c r="L178" s="63">
        <f t="shared" si="142"/>
        <v>6548.2</v>
      </c>
      <c r="M178" s="66"/>
      <c r="N178" s="63"/>
      <c r="O178" s="66">
        <v>38732</v>
      </c>
      <c r="P178" s="63">
        <f t="shared" si="143"/>
        <v>639</v>
      </c>
      <c r="Q178" s="66">
        <v>38357</v>
      </c>
      <c r="R178" s="63">
        <f>Q178-Q177</f>
        <v>619</v>
      </c>
      <c r="S178" s="66">
        <v>108705</v>
      </c>
      <c r="T178" s="63">
        <f>S178-S177</f>
        <v>711</v>
      </c>
      <c r="U178" s="66">
        <v>19311</v>
      </c>
      <c r="V178" s="63">
        <f>U178-U177</f>
        <v>481</v>
      </c>
      <c r="W178" s="66">
        <v>120443</v>
      </c>
      <c r="X178" s="63">
        <f>W178-W177</f>
        <v>1513</v>
      </c>
      <c r="Y178" s="66">
        <v>37503</v>
      </c>
      <c r="Z178" s="63">
        <f>Y178-Y177</f>
        <v>858</v>
      </c>
      <c r="AA178" s="66">
        <v>98465</v>
      </c>
      <c r="AB178" s="63">
        <f>AA178-AA177</f>
        <v>1703</v>
      </c>
      <c r="AC178" s="140">
        <f aca="true" t="shared" si="149" ref="AC178:AC192">D178+F178+H178+L178+P178+R178+T178+V178+X178+Z178+AB178</f>
        <v>15332.91</v>
      </c>
      <c r="AD178" s="143">
        <v>1.1106796116504851</v>
      </c>
      <c r="AE178" s="142">
        <f t="shared" si="144"/>
        <v>17029.95052427184</v>
      </c>
      <c r="AF178" s="141"/>
      <c r="AG178" s="59">
        <v>2655</v>
      </c>
      <c r="AH178" s="147">
        <f t="shared" si="145"/>
        <v>8808.91</v>
      </c>
      <c r="AI178" s="186">
        <f t="shared" si="146"/>
        <v>9783.876737864075</v>
      </c>
      <c r="AJ178" s="187">
        <f t="shared" si="147"/>
        <v>6524</v>
      </c>
      <c r="AK178" s="186">
        <f t="shared" si="148"/>
        <v>7246.073786407765</v>
      </c>
    </row>
    <row r="179" spans="1:39" s="115" customFormat="1" ht="12.75">
      <c r="A179" s="199">
        <v>39569</v>
      </c>
      <c r="B179" s="116">
        <v>39583</v>
      </c>
      <c r="C179" s="250">
        <v>70571.3</v>
      </c>
      <c r="D179" s="192">
        <f t="shared" si="140"/>
        <v>796.9000000000087</v>
      </c>
      <c r="E179" s="250" t="s">
        <v>68</v>
      </c>
      <c r="F179" s="57">
        <v>50</v>
      </c>
      <c r="G179" s="58">
        <v>13453.2</v>
      </c>
      <c r="H179" s="59">
        <f t="shared" si="141"/>
        <v>175.8000000000011</v>
      </c>
      <c r="I179" s="58"/>
      <c r="J179" s="59"/>
      <c r="K179" s="58">
        <v>199935</v>
      </c>
      <c r="L179" s="59">
        <f t="shared" si="142"/>
        <v>2801.4</v>
      </c>
      <c r="M179" s="58"/>
      <c r="N179" s="59"/>
      <c r="O179" s="58">
        <v>39101</v>
      </c>
      <c r="P179" s="59">
        <f t="shared" si="143"/>
        <v>369</v>
      </c>
      <c r="Q179" s="58">
        <v>38679</v>
      </c>
      <c r="R179" s="59">
        <f>Q179-Q178</f>
        <v>322</v>
      </c>
      <c r="S179" s="58">
        <v>109520</v>
      </c>
      <c r="T179" s="59">
        <f>S179-S178</f>
        <v>815</v>
      </c>
      <c r="U179" s="58">
        <v>20409</v>
      </c>
      <c r="V179" s="59">
        <f>U179-U178</f>
        <v>1098</v>
      </c>
      <c r="W179" s="58">
        <v>121123</v>
      </c>
      <c r="X179" s="59">
        <f>W179-W178</f>
        <v>680</v>
      </c>
      <c r="Y179" s="58">
        <v>38022</v>
      </c>
      <c r="Z179" s="59">
        <f>Y179-Y178</f>
        <v>519</v>
      </c>
      <c r="AA179" s="58">
        <v>99267</v>
      </c>
      <c r="AB179" s="59">
        <f>AA179-AA178</f>
        <v>802</v>
      </c>
      <c r="AC179" s="140">
        <f t="shared" si="149"/>
        <v>8429.10000000001</v>
      </c>
      <c r="AD179" s="145">
        <v>1.1106796116504851</v>
      </c>
      <c r="AE179" s="157">
        <f t="shared" si="144"/>
        <v>9362.029514563115</v>
      </c>
      <c r="AF179" s="158"/>
      <c r="AG179" s="59">
        <v>1442</v>
      </c>
      <c r="AH179" s="147">
        <f t="shared" si="145"/>
        <v>3824.10000000001</v>
      </c>
      <c r="AI179" s="186">
        <f t="shared" si="146"/>
        <v>4247.3499029126315</v>
      </c>
      <c r="AJ179" s="187">
        <f t="shared" si="147"/>
        <v>4605</v>
      </c>
      <c r="AK179" s="186">
        <f t="shared" si="148"/>
        <v>5114.679611650484</v>
      </c>
      <c r="AL179" s="185"/>
      <c r="AM179" s="54"/>
    </row>
    <row r="180" spans="1:39" s="115" customFormat="1" ht="13.5" thickBot="1">
      <c r="A180" s="199">
        <v>39600</v>
      </c>
      <c r="B180" s="178">
        <v>39615</v>
      </c>
      <c r="C180" s="191">
        <v>70954</v>
      </c>
      <c r="D180" s="194">
        <f t="shared" si="140"/>
        <v>382.6999999999971</v>
      </c>
      <c r="E180" s="191" t="s">
        <v>68</v>
      </c>
      <c r="F180" s="61">
        <v>50</v>
      </c>
      <c r="G180" s="69">
        <v>13588</v>
      </c>
      <c r="H180" s="70">
        <f>(G180-G179)</f>
        <v>134.79999999999927</v>
      </c>
      <c r="I180" s="60"/>
      <c r="J180" s="70"/>
      <c r="K180" s="60">
        <v>200848</v>
      </c>
      <c r="L180" s="70">
        <f t="shared" si="142"/>
        <v>1323.85</v>
      </c>
      <c r="M180" s="60"/>
      <c r="N180" s="70"/>
      <c r="O180" s="60">
        <v>39510</v>
      </c>
      <c r="P180" s="70">
        <f aca="true" t="shared" si="150" ref="P180:AB180">(O180-O179)</f>
        <v>409</v>
      </c>
      <c r="Q180" s="60">
        <v>39140</v>
      </c>
      <c r="R180" s="70">
        <f t="shared" si="150"/>
        <v>461</v>
      </c>
      <c r="S180" s="60">
        <v>110027</v>
      </c>
      <c r="T180" s="70">
        <f t="shared" si="150"/>
        <v>507</v>
      </c>
      <c r="U180" s="60">
        <v>20468</v>
      </c>
      <c r="V180" s="70">
        <f t="shared" si="150"/>
        <v>59</v>
      </c>
      <c r="W180" s="60">
        <v>121586</v>
      </c>
      <c r="X180" s="70">
        <f t="shared" si="150"/>
        <v>463</v>
      </c>
      <c r="Y180" s="60">
        <v>38454</v>
      </c>
      <c r="Z180" s="70">
        <f t="shared" si="150"/>
        <v>432</v>
      </c>
      <c r="AA180" s="60">
        <v>100002</v>
      </c>
      <c r="AB180" s="70">
        <f t="shared" si="150"/>
        <v>735</v>
      </c>
      <c r="AC180" s="134">
        <f t="shared" si="149"/>
        <v>4957.349999999997</v>
      </c>
      <c r="AD180" s="135">
        <v>1.1106796116504851</v>
      </c>
      <c r="AE180" s="136">
        <f t="shared" si="144"/>
        <v>5506.027572815528</v>
      </c>
      <c r="AF180" s="137">
        <f>SUM(AE178:AE180)</f>
        <v>31898.007611650482</v>
      </c>
      <c r="AG180" s="59">
        <v>881</v>
      </c>
      <c r="AH180" s="147">
        <f t="shared" si="145"/>
        <v>1891.3499999999963</v>
      </c>
      <c r="AI180" s="186">
        <f t="shared" si="146"/>
        <v>2100.683883495141</v>
      </c>
      <c r="AJ180" s="187">
        <f t="shared" si="147"/>
        <v>3066</v>
      </c>
      <c r="AK180" s="186">
        <f t="shared" si="148"/>
        <v>3405.3436893203875</v>
      </c>
      <c r="AM180" s="54"/>
    </row>
    <row r="181" spans="1:37" s="487" customFormat="1" ht="12.75">
      <c r="A181" s="484">
        <v>39630</v>
      </c>
      <c r="B181" s="178">
        <v>39646</v>
      </c>
      <c r="C181" s="263">
        <v>71323.8</v>
      </c>
      <c r="D181" s="485">
        <f aca="true" t="shared" si="151" ref="D181:D210">(C181-C180)</f>
        <v>369.8000000000029</v>
      </c>
      <c r="E181" s="263" t="s">
        <v>68</v>
      </c>
      <c r="F181" s="168">
        <v>125</v>
      </c>
      <c r="G181" s="64">
        <v>13711.6</v>
      </c>
      <c r="H181" s="486">
        <f>(G181-G180)</f>
        <v>123.60000000000036</v>
      </c>
      <c r="I181" s="66"/>
      <c r="J181" s="486"/>
      <c r="K181" s="66">
        <v>202613</v>
      </c>
      <c r="L181" s="486">
        <f aca="true" t="shared" si="152" ref="L181:L210">(K181-K180)*1.45</f>
        <v>2559.25</v>
      </c>
      <c r="M181" s="66"/>
      <c r="N181" s="486"/>
      <c r="O181" s="66">
        <v>39850</v>
      </c>
      <c r="P181" s="486">
        <f>(O181-O180)*$R$113</f>
        <v>380.73199999999997</v>
      </c>
      <c r="Q181" s="66">
        <v>39672</v>
      </c>
      <c r="R181" s="486">
        <f>(Q181-Q180)*$R$113</f>
        <v>595.7335999999999</v>
      </c>
      <c r="S181" s="66">
        <v>110403</v>
      </c>
      <c r="T181" s="486">
        <f aca="true" t="shared" si="153" ref="T181:T192">(S181-S180)*$R$113</f>
        <v>421.04479999999995</v>
      </c>
      <c r="U181" s="66">
        <v>20484</v>
      </c>
      <c r="V181" s="486">
        <f aca="true" t="shared" si="154" ref="V181:V192">(U181-U180)*$R$113</f>
        <v>17.9168</v>
      </c>
      <c r="W181" s="66">
        <v>121860</v>
      </c>
      <c r="X181" s="486">
        <f aca="true" t="shared" si="155" ref="X181:X192">(W181-W180)*$R$113</f>
        <v>306.8252</v>
      </c>
      <c r="Y181" s="66">
        <v>38872</v>
      </c>
      <c r="Z181" s="486">
        <f aca="true" t="shared" si="156" ref="Z181:Z192">(Y181-Y180)*$R$113</f>
        <v>468.0764</v>
      </c>
      <c r="AA181" s="66">
        <v>100555</v>
      </c>
      <c r="AB181" s="486">
        <f aca="true" t="shared" si="157" ref="AB181:AB192">(AA181-AA180)*$R$113</f>
        <v>619.2493999999999</v>
      </c>
      <c r="AC181" s="140">
        <f t="shared" si="149"/>
        <v>5987.228200000002</v>
      </c>
      <c r="AD181" s="143">
        <v>1.081</v>
      </c>
      <c r="AE181" s="157">
        <f>AC181*AD181</f>
        <v>6472.193684200002</v>
      </c>
      <c r="AF181" s="141"/>
      <c r="AG181" s="83">
        <v>726</v>
      </c>
      <c r="AH181" s="174">
        <f t="shared" si="145"/>
        <v>3177.6500000000033</v>
      </c>
      <c r="AI181" s="488">
        <f t="shared" si="146"/>
        <v>3435.0396500000033</v>
      </c>
      <c r="AJ181" s="489">
        <f t="shared" si="147"/>
        <v>2809.5782</v>
      </c>
      <c r="AK181" s="488">
        <f t="shared" si="148"/>
        <v>3037.1540342</v>
      </c>
    </row>
    <row r="182" spans="1:37" s="487" customFormat="1" ht="12.75">
      <c r="A182" s="484">
        <v>39661</v>
      </c>
      <c r="B182" s="178">
        <v>39675</v>
      </c>
      <c r="C182" s="250">
        <v>71649</v>
      </c>
      <c r="D182" s="320">
        <f t="shared" si="151"/>
        <v>325.1999999999971</v>
      </c>
      <c r="E182" s="250" t="s">
        <v>68</v>
      </c>
      <c r="F182" s="168">
        <v>500</v>
      </c>
      <c r="G182" s="58">
        <v>13792.1</v>
      </c>
      <c r="H182" s="83">
        <f t="shared" si="141"/>
        <v>80.5</v>
      </c>
      <c r="I182" s="58"/>
      <c r="J182" s="83"/>
      <c r="K182" s="58">
        <v>204126</v>
      </c>
      <c r="L182" s="83">
        <f t="shared" si="152"/>
        <v>2193.85</v>
      </c>
      <c r="M182" s="58"/>
      <c r="N182" s="83"/>
      <c r="O182" s="58">
        <v>40166</v>
      </c>
      <c r="P182" s="83">
        <f aca="true" t="shared" si="158" ref="P182:R192">(O182-O181)*$R$113</f>
        <v>353.85679999999996</v>
      </c>
      <c r="Q182" s="58">
        <v>40118</v>
      </c>
      <c r="R182" s="83">
        <f t="shared" si="158"/>
        <v>499.4308</v>
      </c>
      <c r="S182" s="58">
        <v>110733</v>
      </c>
      <c r="T182" s="83">
        <f t="shared" si="153"/>
        <v>369.534</v>
      </c>
      <c r="U182" s="58">
        <v>20497</v>
      </c>
      <c r="V182" s="83">
        <f t="shared" si="154"/>
        <v>14.5574</v>
      </c>
      <c r="W182" s="58">
        <v>122003</v>
      </c>
      <c r="X182" s="83">
        <f t="shared" si="155"/>
        <v>160.13139999999999</v>
      </c>
      <c r="Y182" s="58">
        <v>39244</v>
      </c>
      <c r="Z182" s="83">
        <f t="shared" si="156"/>
        <v>416.56559999999996</v>
      </c>
      <c r="AA182" s="58">
        <v>100955</v>
      </c>
      <c r="AB182" s="83">
        <f t="shared" si="157"/>
        <v>447.91999999999996</v>
      </c>
      <c r="AC182" s="140">
        <f t="shared" si="149"/>
        <v>5361.545999999997</v>
      </c>
      <c r="AD182" s="145">
        <v>1.081</v>
      </c>
      <c r="AE182" s="157">
        <f>AC182*AD182</f>
        <v>5795.831225999997</v>
      </c>
      <c r="AF182" s="158"/>
      <c r="AG182" s="83">
        <v>555</v>
      </c>
      <c r="AH182" s="174">
        <f t="shared" si="145"/>
        <v>3099.549999999997</v>
      </c>
      <c r="AI182" s="488">
        <f t="shared" si="146"/>
        <v>3350.613549999997</v>
      </c>
      <c r="AJ182" s="489">
        <f t="shared" si="147"/>
        <v>2261.9959999999996</v>
      </c>
      <c r="AK182" s="488">
        <f t="shared" si="148"/>
        <v>2445.2176759999993</v>
      </c>
    </row>
    <row r="183" spans="1:37" s="487" customFormat="1" ht="13.5" thickBot="1">
      <c r="A183" s="484">
        <v>39692</v>
      </c>
      <c r="B183" s="178">
        <v>39706</v>
      </c>
      <c r="C183" s="250">
        <v>72405.1</v>
      </c>
      <c r="D183" s="320">
        <f t="shared" si="151"/>
        <v>756.1000000000058</v>
      </c>
      <c r="E183" s="191" t="s">
        <v>68</v>
      </c>
      <c r="F183" s="490">
        <v>1500</v>
      </c>
      <c r="G183" s="172" t="s">
        <v>133</v>
      </c>
      <c r="H183" s="490">
        <v>0</v>
      </c>
      <c r="I183" s="60"/>
      <c r="J183" s="83"/>
      <c r="K183" s="58">
        <v>206151</v>
      </c>
      <c r="L183" s="83">
        <f t="shared" si="152"/>
        <v>2936.25</v>
      </c>
      <c r="M183" s="60"/>
      <c r="N183" s="491"/>
      <c r="O183" s="60">
        <v>40506</v>
      </c>
      <c r="P183" s="491">
        <f t="shared" si="158"/>
        <v>380.73199999999997</v>
      </c>
      <c r="Q183" s="60">
        <v>40432</v>
      </c>
      <c r="R183" s="491">
        <f t="shared" si="158"/>
        <v>351.61719999999997</v>
      </c>
      <c r="S183" s="60">
        <v>111255</v>
      </c>
      <c r="T183" s="491">
        <f t="shared" si="153"/>
        <v>584.5355999999999</v>
      </c>
      <c r="U183" s="60">
        <v>20513</v>
      </c>
      <c r="V183" s="491">
        <f t="shared" si="154"/>
        <v>17.9168</v>
      </c>
      <c r="W183" s="60">
        <v>122477</v>
      </c>
      <c r="X183" s="491">
        <f t="shared" si="155"/>
        <v>530.7851999999999</v>
      </c>
      <c r="Y183" s="60">
        <v>39564</v>
      </c>
      <c r="Z183" s="491">
        <f t="shared" si="156"/>
        <v>358.33599999999996</v>
      </c>
      <c r="AA183" s="60">
        <v>101574</v>
      </c>
      <c r="AB183" s="491">
        <f t="shared" si="157"/>
        <v>693.1561999999999</v>
      </c>
      <c r="AC183" s="134">
        <f t="shared" si="149"/>
        <v>8109.4290000000055</v>
      </c>
      <c r="AD183" s="135">
        <v>1.081</v>
      </c>
      <c r="AE183" s="136">
        <f>IF(AC183="","",AC183*AD183)</f>
        <v>8766.292749000006</v>
      </c>
      <c r="AF183" s="137">
        <f>SUM(AE181:AE183)</f>
        <v>21034.3176592</v>
      </c>
      <c r="AG183" s="83">
        <v>473</v>
      </c>
      <c r="AH183" s="174">
        <f t="shared" si="145"/>
        <v>5192.350000000006</v>
      </c>
      <c r="AI183" s="488">
        <f t="shared" si="146"/>
        <v>5612.930350000006</v>
      </c>
      <c r="AJ183" s="489">
        <f t="shared" si="147"/>
        <v>2917.0789999999993</v>
      </c>
      <c r="AK183" s="488">
        <f t="shared" si="148"/>
        <v>3153.362398999999</v>
      </c>
    </row>
    <row r="184" spans="1:37" s="487" customFormat="1" ht="12.75">
      <c r="A184" s="484">
        <v>39722</v>
      </c>
      <c r="B184" s="178">
        <v>39736</v>
      </c>
      <c r="C184" s="263">
        <v>73738</v>
      </c>
      <c r="D184" s="485">
        <f t="shared" si="151"/>
        <v>1332.8999999999942</v>
      </c>
      <c r="E184" s="64" t="s">
        <v>68</v>
      </c>
      <c r="F184" s="168">
        <v>3000</v>
      </c>
      <c r="G184" s="62" t="s">
        <v>133</v>
      </c>
      <c r="H184" s="493">
        <v>200</v>
      </c>
      <c r="I184" s="67"/>
      <c r="J184" s="486"/>
      <c r="K184" s="66">
        <v>209937</v>
      </c>
      <c r="L184" s="486">
        <f t="shared" si="152"/>
        <v>5489.7</v>
      </c>
      <c r="M184" s="58"/>
      <c r="N184" s="486"/>
      <c r="O184" s="66">
        <v>40892</v>
      </c>
      <c r="P184" s="486">
        <f t="shared" si="158"/>
        <v>432.2428</v>
      </c>
      <c r="Q184" s="64">
        <v>40936</v>
      </c>
      <c r="R184" s="486">
        <f t="shared" si="158"/>
        <v>564.3792</v>
      </c>
      <c r="S184" s="66">
        <v>112006</v>
      </c>
      <c r="T184" s="486">
        <f t="shared" si="153"/>
        <v>840.9698</v>
      </c>
      <c r="U184" s="64">
        <v>20621</v>
      </c>
      <c r="V184" s="486">
        <f t="shared" si="154"/>
        <v>120.93839999999999</v>
      </c>
      <c r="W184" s="66">
        <v>123056</v>
      </c>
      <c r="X184" s="486">
        <f t="shared" si="155"/>
        <v>648.3642</v>
      </c>
      <c r="Y184" s="64">
        <v>39888</v>
      </c>
      <c r="Z184" s="486">
        <f t="shared" si="156"/>
        <v>362.81519999999995</v>
      </c>
      <c r="AA184" s="66">
        <v>102474</v>
      </c>
      <c r="AB184" s="486">
        <f t="shared" si="157"/>
        <v>1007.8199999999999</v>
      </c>
      <c r="AC184" s="174">
        <f t="shared" si="149"/>
        <v>14000.129599999993</v>
      </c>
      <c r="AD184" s="143">
        <v>1.081</v>
      </c>
      <c r="AE184" s="142">
        <f>IF(AC184="","",AC184*AD184)</f>
        <v>15134.140097599991</v>
      </c>
      <c r="AF184" s="141"/>
      <c r="AG184" s="83">
        <v>973</v>
      </c>
      <c r="AH184" s="174">
        <f t="shared" si="145"/>
        <v>10022.599999999995</v>
      </c>
      <c r="AI184" s="488">
        <f t="shared" si="146"/>
        <v>10834.430599999994</v>
      </c>
      <c r="AJ184" s="489">
        <f t="shared" si="147"/>
        <v>3977.5296</v>
      </c>
      <c r="AK184" s="488">
        <f t="shared" si="148"/>
        <v>4299.7094976</v>
      </c>
    </row>
    <row r="185" spans="1:37" s="487" customFormat="1" ht="12.75">
      <c r="A185" s="484">
        <v>39753</v>
      </c>
      <c r="B185" s="394">
        <v>39770</v>
      </c>
      <c r="C185" s="250">
        <v>75333</v>
      </c>
      <c r="D185" s="320">
        <f t="shared" si="151"/>
        <v>1595</v>
      </c>
      <c r="E185" s="67" t="s">
        <v>68</v>
      </c>
      <c r="F185" s="168">
        <v>5000</v>
      </c>
      <c r="G185" s="68" t="s">
        <v>133</v>
      </c>
      <c r="H185" s="168">
        <v>200</v>
      </c>
      <c r="I185" s="67"/>
      <c r="J185" s="83"/>
      <c r="K185" s="58">
        <v>214591</v>
      </c>
      <c r="L185" s="83">
        <f t="shared" si="152"/>
        <v>6748.3</v>
      </c>
      <c r="M185" s="58"/>
      <c r="N185" s="83"/>
      <c r="O185" s="58">
        <v>41513</v>
      </c>
      <c r="P185" s="83">
        <f t="shared" si="158"/>
        <v>695.3957999999999</v>
      </c>
      <c r="Q185" s="67">
        <v>41840</v>
      </c>
      <c r="R185" s="83">
        <f t="shared" si="158"/>
        <v>1012.2991999999999</v>
      </c>
      <c r="S185" s="58">
        <v>113960</v>
      </c>
      <c r="T185" s="83">
        <f t="shared" si="153"/>
        <v>2188.0892</v>
      </c>
      <c r="U185" s="67">
        <v>21071</v>
      </c>
      <c r="V185" s="83">
        <f t="shared" si="154"/>
        <v>503.90999999999997</v>
      </c>
      <c r="W185" s="58">
        <v>124281</v>
      </c>
      <c r="X185" s="83">
        <f t="shared" si="155"/>
        <v>1371.7549999999999</v>
      </c>
      <c r="Y185" s="67">
        <v>40589</v>
      </c>
      <c r="Z185" s="83">
        <f t="shared" si="156"/>
        <v>784.9798</v>
      </c>
      <c r="AA185" s="58">
        <v>104004</v>
      </c>
      <c r="AB185" s="83">
        <f t="shared" si="157"/>
        <v>1713.2939999999999</v>
      </c>
      <c r="AC185" s="174">
        <f t="shared" si="149"/>
        <v>21813.023</v>
      </c>
      <c r="AD185" s="145">
        <v>1.081</v>
      </c>
      <c r="AE185" s="157">
        <f aca="true" t="shared" si="159" ref="AE185:AE192">IF(AC185="","",AC185*AD185)</f>
        <v>23579.877863</v>
      </c>
      <c r="AF185" s="158"/>
      <c r="AG185" s="83">
        <v>1218</v>
      </c>
      <c r="AH185" s="174">
        <f t="shared" si="145"/>
        <v>13543.3</v>
      </c>
      <c r="AI185" s="488">
        <f t="shared" si="146"/>
        <v>14640.307299999999</v>
      </c>
      <c r="AJ185" s="489">
        <f t="shared" si="147"/>
        <v>8269.723</v>
      </c>
      <c r="AK185" s="488">
        <f t="shared" si="148"/>
        <v>8939.570563</v>
      </c>
    </row>
    <row r="186" spans="1:39" s="355" customFormat="1" ht="13.5" thickBot="1">
      <c r="A186" s="484">
        <v>39783</v>
      </c>
      <c r="B186" s="394">
        <v>39797</v>
      </c>
      <c r="C186" s="191">
        <v>76522</v>
      </c>
      <c r="D186" s="321">
        <f t="shared" si="151"/>
        <v>1189</v>
      </c>
      <c r="E186" s="69" t="s">
        <v>68</v>
      </c>
      <c r="F186" s="490">
        <v>5000</v>
      </c>
      <c r="G186" s="68" t="s">
        <v>133</v>
      </c>
      <c r="H186" s="490">
        <v>200</v>
      </c>
      <c r="I186" s="69"/>
      <c r="J186" s="83"/>
      <c r="K186" s="60">
        <v>217876</v>
      </c>
      <c r="L186" s="491">
        <f t="shared" si="152"/>
        <v>4763.25</v>
      </c>
      <c r="M186" s="60"/>
      <c r="N186" s="83"/>
      <c r="O186" s="60">
        <v>42334</v>
      </c>
      <c r="P186" s="491">
        <f t="shared" si="158"/>
        <v>919.3557999999999</v>
      </c>
      <c r="Q186" s="69">
        <v>42896</v>
      </c>
      <c r="R186" s="491">
        <f t="shared" si="158"/>
        <v>1182.5087999999998</v>
      </c>
      <c r="S186" s="60">
        <v>115600</v>
      </c>
      <c r="T186" s="491">
        <f t="shared" si="153"/>
        <v>1836.4719999999998</v>
      </c>
      <c r="U186" s="69">
        <v>21862</v>
      </c>
      <c r="V186" s="491">
        <f t="shared" si="154"/>
        <v>885.7617999999999</v>
      </c>
      <c r="W186" s="60">
        <v>126075</v>
      </c>
      <c r="X186" s="491">
        <f t="shared" si="155"/>
        <v>2008.9211999999998</v>
      </c>
      <c r="Y186" s="69">
        <v>41557</v>
      </c>
      <c r="Z186" s="491">
        <f t="shared" si="156"/>
        <v>1083.9664</v>
      </c>
      <c r="AA186" s="60">
        <v>106181</v>
      </c>
      <c r="AB186" s="491">
        <f t="shared" si="157"/>
        <v>2437.8046</v>
      </c>
      <c r="AC186" s="498">
        <f t="shared" si="149"/>
        <v>21507.0406</v>
      </c>
      <c r="AD186" s="135">
        <v>1.081</v>
      </c>
      <c r="AE186" s="136">
        <f t="shared" si="159"/>
        <v>23249.1108886</v>
      </c>
      <c r="AF186" s="137">
        <f>SUM(AE184:AE186)</f>
        <v>61963.128849199995</v>
      </c>
      <c r="AG186" s="83">
        <v>1620</v>
      </c>
      <c r="AH186" s="174">
        <f t="shared" si="145"/>
        <v>11152.25</v>
      </c>
      <c r="AI186" s="488">
        <f t="shared" si="146"/>
        <v>12055.58225</v>
      </c>
      <c r="AJ186" s="489">
        <f t="shared" si="147"/>
        <v>10354.7906</v>
      </c>
      <c r="AK186" s="488">
        <f t="shared" si="148"/>
        <v>11193.5286386</v>
      </c>
      <c r="AM186" s="487"/>
    </row>
    <row r="187" spans="1:37" s="487" customFormat="1" ht="12.75">
      <c r="A187" s="484">
        <v>39814</v>
      </c>
      <c r="B187" s="394">
        <v>39829</v>
      </c>
      <c r="C187" s="263">
        <v>77395</v>
      </c>
      <c r="D187" s="485">
        <f t="shared" si="151"/>
        <v>873</v>
      </c>
      <c r="E187" s="66" t="s">
        <v>68</v>
      </c>
      <c r="F187" s="493">
        <v>5000</v>
      </c>
      <c r="G187" s="64">
        <v>15045.6</v>
      </c>
      <c r="H187" s="485">
        <f>G187-G182</f>
        <v>1253.5</v>
      </c>
      <c r="I187" s="66"/>
      <c r="J187" s="486"/>
      <c r="K187" s="66">
        <v>220292</v>
      </c>
      <c r="L187" s="486">
        <f t="shared" si="152"/>
        <v>3503.2</v>
      </c>
      <c r="M187" s="66"/>
      <c r="N187" s="486"/>
      <c r="O187" s="66">
        <v>42437</v>
      </c>
      <c r="P187" s="486">
        <f t="shared" si="158"/>
        <v>115.33939999999998</v>
      </c>
      <c r="Q187" s="66">
        <v>44216</v>
      </c>
      <c r="R187" s="486">
        <f t="shared" si="158"/>
        <v>1478.136</v>
      </c>
      <c r="S187" s="66">
        <v>118429</v>
      </c>
      <c r="T187" s="486">
        <f t="shared" si="153"/>
        <v>3167.9141999999997</v>
      </c>
      <c r="U187" s="66">
        <v>22837</v>
      </c>
      <c r="V187" s="486">
        <f t="shared" si="154"/>
        <v>1091.8049999999998</v>
      </c>
      <c r="W187" s="66">
        <v>128428</v>
      </c>
      <c r="X187" s="486">
        <f t="shared" si="155"/>
        <v>2634.8893999999996</v>
      </c>
      <c r="Y187" s="66">
        <v>42882</v>
      </c>
      <c r="Z187" s="486">
        <f t="shared" si="156"/>
        <v>1483.735</v>
      </c>
      <c r="AA187" s="66">
        <v>109161</v>
      </c>
      <c r="AB187" s="486">
        <f t="shared" si="157"/>
        <v>3337.004</v>
      </c>
      <c r="AC187" s="140">
        <f t="shared" si="149"/>
        <v>23938.523</v>
      </c>
      <c r="AD187" s="143">
        <v>1.081</v>
      </c>
      <c r="AE187" s="142">
        <f t="shared" si="159"/>
        <v>25877.543363</v>
      </c>
      <c r="AF187" s="141"/>
      <c r="AG187" s="83">
        <v>3186</v>
      </c>
      <c r="AH187" s="174">
        <f t="shared" si="145"/>
        <v>10629.7</v>
      </c>
      <c r="AI187" s="488">
        <f t="shared" si="146"/>
        <v>11490.7057</v>
      </c>
      <c r="AJ187" s="489">
        <f t="shared" si="147"/>
        <v>13308.823</v>
      </c>
      <c r="AK187" s="488">
        <f t="shared" si="148"/>
        <v>14386.837663</v>
      </c>
    </row>
    <row r="188" spans="1:37" s="487" customFormat="1" ht="12.75">
      <c r="A188" s="484">
        <v>39845</v>
      </c>
      <c r="B188" s="394">
        <v>39861</v>
      </c>
      <c r="C188" s="250">
        <v>79259</v>
      </c>
      <c r="D188" s="320">
        <f t="shared" si="151"/>
        <v>1864</v>
      </c>
      <c r="E188" s="58" t="s">
        <v>68</v>
      </c>
      <c r="F188" s="168">
        <v>5000</v>
      </c>
      <c r="G188" s="58">
        <v>15422.5</v>
      </c>
      <c r="H188" s="320">
        <f aca="true" t="shared" si="160" ref="H188:H210">G188-G187</f>
        <v>376.89999999999964</v>
      </c>
      <c r="I188" s="58"/>
      <c r="J188" s="83"/>
      <c r="K188" s="58">
        <v>225264</v>
      </c>
      <c r="L188" s="83">
        <f t="shared" si="152"/>
        <v>7209.4</v>
      </c>
      <c r="M188" s="58"/>
      <c r="N188" s="83"/>
      <c r="O188" s="58">
        <v>46613</v>
      </c>
      <c r="P188" s="83">
        <f t="shared" si="158"/>
        <v>4676.284799999999</v>
      </c>
      <c r="Q188" s="58">
        <v>45345</v>
      </c>
      <c r="R188" s="83">
        <f t="shared" si="158"/>
        <v>1264.2541999999999</v>
      </c>
      <c r="S188" s="58">
        <v>121380</v>
      </c>
      <c r="T188" s="83">
        <f t="shared" si="153"/>
        <v>3304.5298</v>
      </c>
      <c r="U188" s="58">
        <v>23760</v>
      </c>
      <c r="V188" s="83">
        <f t="shared" si="154"/>
        <v>1033.5754</v>
      </c>
      <c r="W188" s="58">
        <v>130849</v>
      </c>
      <c r="X188" s="83">
        <f t="shared" si="155"/>
        <v>2711.0357999999997</v>
      </c>
      <c r="Y188" s="58">
        <v>44196</v>
      </c>
      <c r="Z188" s="83">
        <f t="shared" si="156"/>
        <v>1471.4171999999999</v>
      </c>
      <c r="AA188" s="58">
        <v>112138</v>
      </c>
      <c r="AB188" s="83">
        <f t="shared" si="157"/>
        <v>3333.6445999999996</v>
      </c>
      <c r="AC188" s="140">
        <f t="shared" si="149"/>
        <v>32245.041799999995</v>
      </c>
      <c r="AD188" s="145">
        <v>1.081</v>
      </c>
      <c r="AE188" s="157">
        <f t="shared" si="159"/>
        <v>34856.890185799995</v>
      </c>
      <c r="AF188" s="158"/>
      <c r="AG188" s="83">
        <v>3670</v>
      </c>
      <c r="AH188" s="174">
        <f t="shared" si="145"/>
        <v>14450.3</v>
      </c>
      <c r="AI188" s="488">
        <f t="shared" si="146"/>
        <v>15620.7743</v>
      </c>
      <c r="AJ188" s="489">
        <f t="shared" si="147"/>
        <v>17794.741799999996</v>
      </c>
      <c r="AK188" s="488">
        <f t="shared" si="148"/>
        <v>19236.115885799994</v>
      </c>
    </row>
    <row r="189" spans="1:37" s="487" customFormat="1" ht="13.5" thickBot="1">
      <c r="A189" s="484">
        <v>39873</v>
      </c>
      <c r="B189" s="394">
        <v>39889</v>
      </c>
      <c r="C189" s="250">
        <v>80529</v>
      </c>
      <c r="D189" s="320">
        <f t="shared" si="151"/>
        <v>1270</v>
      </c>
      <c r="E189" s="60" t="s">
        <v>68</v>
      </c>
      <c r="F189" s="490">
        <v>4000</v>
      </c>
      <c r="G189" s="67">
        <v>15644.4</v>
      </c>
      <c r="H189" s="320">
        <f t="shared" si="160"/>
        <v>221.89999999999964</v>
      </c>
      <c r="I189" s="60"/>
      <c r="J189" s="83"/>
      <c r="K189" s="58">
        <v>228677</v>
      </c>
      <c r="L189" s="83">
        <f t="shared" si="152"/>
        <v>4948.849999999999</v>
      </c>
      <c r="M189" s="60"/>
      <c r="N189" s="83"/>
      <c r="O189" s="58">
        <v>47462</v>
      </c>
      <c r="P189" s="491">
        <f t="shared" si="158"/>
        <v>950.7101999999999</v>
      </c>
      <c r="Q189" s="58">
        <v>46144</v>
      </c>
      <c r="R189" s="491">
        <f t="shared" si="158"/>
        <v>894.7202</v>
      </c>
      <c r="S189" s="58">
        <v>123547</v>
      </c>
      <c r="T189" s="491">
        <f t="shared" si="153"/>
        <v>2426.6065999999996</v>
      </c>
      <c r="U189" s="58">
        <v>24432</v>
      </c>
      <c r="V189" s="491">
        <f t="shared" si="154"/>
        <v>752.5056</v>
      </c>
      <c r="W189" s="58">
        <v>132623</v>
      </c>
      <c r="X189" s="491">
        <f t="shared" si="155"/>
        <v>1986.5251999999998</v>
      </c>
      <c r="Y189" s="58">
        <v>45128</v>
      </c>
      <c r="Z189" s="491">
        <f t="shared" si="156"/>
        <v>1043.6535999999999</v>
      </c>
      <c r="AA189" s="58">
        <v>114279</v>
      </c>
      <c r="AB189" s="491">
        <f t="shared" si="157"/>
        <v>2397.4918</v>
      </c>
      <c r="AC189" s="134">
        <f t="shared" si="149"/>
        <v>20892.9632</v>
      </c>
      <c r="AD189" s="135">
        <v>1.081</v>
      </c>
      <c r="AE189" s="136">
        <f t="shared" si="159"/>
        <v>22585.293219199997</v>
      </c>
      <c r="AF189" s="137">
        <f>SUM(AE187:AE189)</f>
        <v>83319.726768</v>
      </c>
      <c r="AG189" s="83">
        <v>2497</v>
      </c>
      <c r="AH189" s="174">
        <f t="shared" si="145"/>
        <v>10440.75</v>
      </c>
      <c r="AI189" s="488">
        <f t="shared" si="146"/>
        <v>11286.45075</v>
      </c>
      <c r="AJ189" s="489">
        <f t="shared" si="147"/>
        <v>10452.213199999998</v>
      </c>
      <c r="AK189" s="488">
        <f t="shared" si="148"/>
        <v>11298.842469199997</v>
      </c>
    </row>
    <row r="190" spans="1:37" s="487" customFormat="1" ht="12.75">
      <c r="A190" s="484">
        <v>39904</v>
      </c>
      <c r="B190" s="394">
        <v>39923</v>
      </c>
      <c r="C190" s="263">
        <v>82473</v>
      </c>
      <c r="D190" s="485">
        <f t="shared" si="151"/>
        <v>1944</v>
      </c>
      <c r="E190" s="64" t="s">
        <v>68</v>
      </c>
      <c r="F190" s="492">
        <v>400</v>
      </c>
      <c r="G190" s="263">
        <v>15991.7</v>
      </c>
      <c r="H190" s="485">
        <f t="shared" si="160"/>
        <v>347.3000000000011</v>
      </c>
      <c r="I190" s="64"/>
      <c r="J190" s="496"/>
      <c r="K190" s="263">
        <v>234123</v>
      </c>
      <c r="L190" s="486">
        <f t="shared" si="152"/>
        <v>7896.7</v>
      </c>
      <c r="M190" s="64"/>
      <c r="N190" s="486"/>
      <c r="O190" s="263">
        <v>48131</v>
      </c>
      <c r="P190" s="486">
        <f t="shared" si="158"/>
        <v>749.1461999999999</v>
      </c>
      <c r="Q190" s="66">
        <v>46812</v>
      </c>
      <c r="R190" s="486">
        <f t="shared" si="158"/>
        <v>748.0264</v>
      </c>
      <c r="S190" s="66">
        <v>125404</v>
      </c>
      <c r="T190" s="486">
        <f t="shared" si="153"/>
        <v>2079.4685999999997</v>
      </c>
      <c r="U190" s="66">
        <v>24984</v>
      </c>
      <c r="V190" s="486">
        <f t="shared" si="154"/>
        <v>618.1296</v>
      </c>
      <c r="W190" s="66">
        <v>134034</v>
      </c>
      <c r="X190" s="486">
        <f t="shared" si="155"/>
        <v>1580.0377999999998</v>
      </c>
      <c r="Y190" s="66">
        <v>46051</v>
      </c>
      <c r="Z190" s="486">
        <f t="shared" si="156"/>
        <v>1033.5754</v>
      </c>
      <c r="AA190" s="66">
        <v>116160</v>
      </c>
      <c r="AB190" s="486">
        <f t="shared" si="157"/>
        <v>2106.3437999999996</v>
      </c>
      <c r="AC190" s="174">
        <f t="shared" si="149"/>
        <v>19502.7278</v>
      </c>
      <c r="AD190" s="143">
        <v>1.081</v>
      </c>
      <c r="AE190" s="142">
        <f t="shared" si="159"/>
        <v>21082.4487518</v>
      </c>
      <c r="AF190" s="141"/>
      <c r="AG190" s="83">
        <v>2368</v>
      </c>
      <c r="AH190" s="174">
        <f t="shared" si="145"/>
        <v>10588</v>
      </c>
      <c r="AI190" s="488">
        <f t="shared" si="146"/>
        <v>11445.627999999999</v>
      </c>
      <c r="AJ190" s="489">
        <f t="shared" si="147"/>
        <v>8914.727799999999</v>
      </c>
      <c r="AK190" s="488">
        <f t="shared" si="148"/>
        <v>9636.820751799998</v>
      </c>
    </row>
    <row r="191" spans="1:39" s="355" customFormat="1" ht="12.75">
      <c r="A191" s="484">
        <v>39934</v>
      </c>
      <c r="B191" s="394">
        <v>39948</v>
      </c>
      <c r="C191" s="250">
        <v>83078</v>
      </c>
      <c r="D191" s="320">
        <f t="shared" si="151"/>
        <v>605</v>
      </c>
      <c r="E191" s="67" t="s">
        <v>68</v>
      </c>
      <c r="F191" s="175">
        <v>50</v>
      </c>
      <c r="G191" s="250">
        <v>16123</v>
      </c>
      <c r="H191" s="320">
        <f t="shared" si="160"/>
        <v>131.29999999999927</v>
      </c>
      <c r="I191" s="67"/>
      <c r="J191" s="174"/>
      <c r="K191" s="250">
        <v>236124</v>
      </c>
      <c r="L191" s="83">
        <f t="shared" si="152"/>
        <v>2901.45</v>
      </c>
      <c r="M191" s="67"/>
      <c r="N191" s="83"/>
      <c r="O191" s="250">
        <v>48411</v>
      </c>
      <c r="P191" s="83">
        <f t="shared" si="158"/>
        <v>313.544</v>
      </c>
      <c r="Q191" s="58">
        <v>47106</v>
      </c>
      <c r="R191" s="83">
        <f t="shared" si="158"/>
        <v>329.22119999999995</v>
      </c>
      <c r="S191" s="58">
        <v>126031</v>
      </c>
      <c r="T191" s="83">
        <f t="shared" si="153"/>
        <v>702.1146</v>
      </c>
      <c r="U191" s="58">
        <v>25096</v>
      </c>
      <c r="V191" s="83">
        <f t="shared" si="154"/>
        <v>125.4176</v>
      </c>
      <c r="W191" s="58">
        <v>134452</v>
      </c>
      <c r="X191" s="83">
        <f t="shared" si="155"/>
        <v>468.0764</v>
      </c>
      <c r="Y191" s="58">
        <v>46258</v>
      </c>
      <c r="Z191" s="83">
        <f t="shared" si="156"/>
        <v>231.7986</v>
      </c>
      <c r="AA191" s="58">
        <v>116692</v>
      </c>
      <c r="AB191" s="83">
        <f t="shared" si="157"/>
        <v>595.7335999999999</v>
      </c>
      <c r="AC191" s="174">
        <f t="shared" si="149"/>
        <v>6453.655999999998</v>
      </c>
      <c r="AD191" s="145">
        <v>1.081</v>
      </c>
      <c r="AE191" s="157">
        <f t="shared" si="159"/>
        <v>6976.402135999998</v>
      </c>
      <c r="AF191" s="158"/>
      <c r="AG191" s="83">
        <v>1621</v>
      </c>
      <c r="AH191" s="174">
        <f t="shared" si="145"/>
        <v>3687.749999999999</v>
      </c>
      <c r="AI191" s="488">
        <f t="shared" si="146"/>
        <v>3986.4577499999987</v>
      </c>
      <c r="AJ191" s="489">
        <f t="shared" si="147"/>
        <v>2765.906</v>
      </c>
      <c r="AK191" s="488">
        <f t="shared" si="148"/>
        <v>2989.9443859999997</v>
      </c>
      <c r="AL191" s="499"/>
      <c r="AM191" s="487"/>
    </row>
    <row r="192" spans="1:37" s="355" customFormat="1" ht="13.5" thickBot="1">
      <c r="A192" s="484">
        <v>39965</v>
      </c>
      <c r="B192" s="178">
        <v>39979</v>
      </c>
      <c r="C192" s="191">
        <v>83428</v>
      </c>
      <c r="D192" s="321">
        <f t="shared" si="151"/>
        <v>350</v>
      </c>
      <c r="E192" s="69" t="s">
        <v>68</v>
      </c>
      <c r="F192" s="497">
        <v>50</v>
      </c>
      <c r="G192" s="191">
        <v>16214.6</v>
      </c>
      <c r="H192" s="321">
        <f t="shared" si="160"/>
        <v>91.60000000000036</v>
      </c>
      <c r="I192" s="69"/>
      <c r="J192" s="498"/>
      <c r="K192" s="191">
        <v>237530</v>
      </c>
      <c r="L192" s="491">
        <f t="shared" si="152"/>
        <v>2038.7</v>
      </c>
      <c r="M192" s="69"/>
      <c r="N192" s="491"/>
      <c r="O192" s="191">
        <v>48565</v>
      </c>
      <c r="P192" s="491">
        <f t="shared" si="158"/>
        <v>172.4492</v>
      </c>
      <c r="Q192" s="60">
        <v>47293</v>
      </c>
      <c r="R192" s="491">
        <f t="shared" si="158"/>
        <v>209.40259999999998</v>
      </c>
      <c r="S192" s="60">
        <v>126532</v>
      </c>
      <c r="T192" s="491">
        <f t="shared" si="153"/>
        <v>561.0197999999999</v>
      </c>
      <c r="U192" s="60">
        <v>25129</v>
      </c>
      <c r="V192" s="491">
        <f t="shared" si="154"/>
        <v>36.953399999999995</v>
      </c>
      <c r="W192" s="60">
        <v>134704</v>
      </c>
      <c r="X192" s="491">
        <f t="shared" si="155"/>
        <v>282.1896</v>
      </c>
      <c r="Y192" s="60">
        <v>46421</v>
      </c>
      <c r="Z192" s="491">
        <f t="shared" si="156"/>
        <v>182.52739999999997</v>
      </c>
      <c r="AA192" s="60">
        <v>117655</v>
      </c>
      <c r="AB192" s="491">
        <f t="shared" si="157"/>
        <v>1078.3673999999999</v>
      </c>
      <c r="AC192" s="498">
        <f t="shared" si="149"/>
        <v>5053.2094</v>
      </c>
      <c r="AD192" s="135">
        <v>1.081</v>
      </c>
      <c r="AE192" s="136">
        <f t="shared" si="159"/>
        <v>5462.519361399999</v>
      </c>
      <c r="AF192" s="137">
        <f>SUM(AE190:AE192)</f>
        <v>33521.370249199994</v>
      </c>
      <c r="AG192" s="500">
        <v>800</v>
      </c>
      <c r="AH192" s="174">
        <f t="shared" si="145"/>
        <v>2530.3</v>
      </c>
      <c r="AI192" s="488">
        <f t="shared" si="146"/>
        <v>2735.2543</v>
      </c>
      <c r="AJ192" s="489">
        <f t="shared" si="147"/>
        <v>2522.9093999999996</v>
      </c>
      <c r="AK192" s="488">
        <f t="shared" si="148"/>
        <v>2727.2650613999995</v>
      </c>
    </row>
    <row r="193" spans="1:37" s="54" customFormat="1" ht="12.75">
      <c r="A193" s="127">
        <v>39995</v>
      </c>
      <c r="B193" s="462">
        <v>40011</v>
      </c>
      <c r="C193" s="478">
        <v>83819</v>
      </c>
      <c r="D193" s="466">
        <f t="shared" si="151"/>
        <v>391</v>
      </c>
      <c r="E193" s="441" t="s">
        <v>68</v>
      </c>
      <c r="F193" s="467">
        <v>50</v>
      </c>
      <c r="G193" s="510">
        <v>16303</v>
      </c>
      <c r="H193" s="466">
        <f t="shared" si="160"/>
        <v>88.39999999999964</v>
      </c>
      <c r="I193" s="441"/>
      <c r="J193" s="463"/>
      <c r="K193" s="510">
        <v>239337</v>
      </c>
      <c r="L193" s="466">
        <f t="shared" si="152"/>
        <v>2620.15</v>
      </c>
      <c r="M193" s="441"/>
      <c r="N193" s="463"/>
      <c r="O193" s="478">
        <v>48670</v>
      </c>
      <c r="P193" s="463">
        <f aca="true" t="shared" si="161" ref="P193:P210">(O193-O192)</f>
        <v>105</v>
      </c>
      <c r="Q193" s="510">
        <v>47572</v>
      </c>
      <c r="R193" s="463">
        <f aca="true" t="shared" si="162" ref="R193:R198">(Q193-Q192)</f>
        <v>279</v>
      </c>
      <c r="S193" s="510">
        <v>127014</v>
      </c>
      <c r="T193" s="466">
        <f aca="true" t="shared" si="163" ref="T193:T198">(S193-S192)</f>
        <v>482</v>
      </c>
      <c r="U193" s="478">
        <v>25145</v>
      </c>
      <c r="V193" s="463">
        <f aca="true" t="shared" si="164" ref="V193:V198">(U193-U192)</f>
        <v>16</v>
      </c>
      <c r="W193" s="510">
        <v>134919</v>
      </c>
      <c r="X193" s="466">
        <f aca="true" t="shared" si="165" ref="X193:X198">(W193-W192)</f>
        <v>215</v>
      </c>
      <c r="Y193" s="478">
        <v>46517</v>
      </c>
      <c r="Z193" s="463">
        <f aca="true" t="shared" si="166" ref="Z193:Z198">(Y193-Y192)</f>
        <v>96</v>
      </c>
      <c r="AA193" s="478">
        <v>118204</v>
      </c>
      <c r="AB193" s="518">
        <f aca="true" t="shared" si="167" ref="AB193:AB198">(AA193-AA192)</f>
        <v>549</v>
      </c>
      <c r="AC193" s="183">
        <f aca="true" t="shared" si="168" ref="AC193:AC210">D193+F193+H193+L193+P193+R193+T193+V193+X193+Z193+AB193</f>
        <v>4891.549999999999</v>
      </c>
      <c r="AD193" s="160">
        <v>1.04</v>
      </c>
      <c r="AE193" s="161">
        <f>AC193*AD193</f>
        <v>5087.2119999999995</v>
      </c>
      <c r="AF193" s="162"/>
      <c r="AG193" s="59">
        <v>726</v>
      </c>
      <c r="AH193" s="147">
        <f aca="true" t="shared" si="169" ref="AH193:AH204">D193+F193+H193+L193</f>
        <v>3149.5499999999997</v>
      </c>
      <c r="AI193" s="186">
        <f aca="true" t="shared" si="170" ref="AI193:AI204">AH193*AD193</f>
        <v>3275.5319999999997</v>
      </c>
      <c r="AJ193" s="187">
        <f aca="true" t="shared" si="171" ref="AJ193:AJ204">P193+R193+T193+V193+X193+Z193+AB193</f>
        <v>1742</v>
      </c>
      <c r="AK193" s="186">
        <f aca="true" t="shared" si="172" ref="AK193:AK204">AJ193*AD193</f>
        <v>1811.68</v>
      </c>
    </row>
    <row r="194" spans="1:37" s="54" customFormat="1" ht="12.75">
      <c r="A194" s="127">
        <v>40026</v>
      </c>
      <c r="B194" s="462">
        <v>40042</v>
      </c>
      <c r="C194" s="459">
        <v>84172</v>
      </c>
      <c r="D194" s="470">
        <f t="shared" si="151"/>
        <v>353</v>
      </c>
      <c r="E194" s="439" t="s">
        <v>68</v>
      </c>
      <c r="F194" s="456">
        <v>50</v>
      </c>
      <c r="G194" s="511">
        <v>16378</v>
      </c>
      <c r="H194" s="470">
        <f t="shared" si="160"/>
        <v>75</v>
      </c>
      <c r="I194" s="439"/>
      <c r="J194" s="468"/>
      <c r="K194" s="511">
        <v>241075</v>
      </c>
      <c r="L194" s="470">
        <f t="shared" si="152"/>
        <v>2520.1</v>
      </c>
      <c r="M194" s="439"/>
      <c r="N194" s="468"/>
      <c r="O194" s="459">
        <v>48920</v>
      </c>
      <c r="P194" s="468">
        <f t="shared" si="161"/>
        <v>250</v>
      </c>
      <c r="Q194" s="511">
        <v>47798</v>
      </c>
      <c r="R194" s="468">
        <f t="shared" si="162"/>
        <v>226</v>
      </c>
      <c r="S194" s="511">
        <v>127413</v>
      </c>
      <c r="T194" s="470">
        <f t="shared" si="163"/>
        <v>399</v>
      </c>
      <c r="U194" s="459">
        <v>25159</v>
      </c>
      <c r="V194" s="468">
        <f t="shared" si="164"/>
        <v>14</v>
      </c>
      <c r="W194" s="511">
        <v>135190</v>
      </c>
      <c r="X194" s="470">
        <f t="shared" si="165"/>
        <v>271</v>
      </c>
      <c r="Y194" s="459">
        <v>46711</v>
      </c>
      <c r="Z194" s="468">
        <f t="shared" si="166"/>
        <v>194</v>
      </c>
      <c r="AA194" s="459">
        <v>119007</v>
      </c>
      <c r="AB194" s="468">
        <f t="shared" si="167"/>
        <v>803</v>
      </c>
      <c r="AC194" s="183">
        <f t="shared" si="168"/>
        <v>5155.1</v>
      </c>
      <c r="AD194" s="163">
        <v>1.04</v>
      </c>
      <c r="AE194" s="161">
        <f>AC194*AD194</f>
        <v>5361.304000000001</v>
      </c>
      <c r="AF194" s="164"/>
      <c r="AG194" s="59">
        <v>555</v>
      </c>
      <c r="AH194" s="147">
        <f t="shared" si="169"/>
        <v>2998.1</v>
      </c>
      <c r="AI194" s="186">
        <f t="shared" si="170"/>
        <v>3118.024</v>
      </c>
      <c r="AJ194" s="187">
        <f t="shared" si="171"/>
        <v>2157</v>
      </c>
      <c r="AK194" s="186">
        <f t="shared" si="172"/>
        <v>2243.28</v>
      </c>
    </row>
    <row r="195" spans="1:37" s="54" customFormat="1" ht="13.5" thickBot="1">
      <c r="A195" s="127">
        <v>40057</v>
      </c>
      <c r="B195" s="462">
        <v>40071</v>
      </c>
      <c r="C195" s="460">
        <v>85031</v>
      </c>
      <c r="D195" s="473">
        <f t="shared" si="151"/>
        <v>859</v>
      </c>
      <c r="E195" s="440" t="s">
        <v>68</v>
      </c>
      <c r="F195" s="474">
        <v>50</v>
      </c>
      <c r="G195" s="512">
        <v>16516</v>
      </c>
      <c r="H195" s="473">
        <f t="shared" si="160"/>
        <v>138</v>
      </c>
      <c r="I195" s="440"/>
      <c r="J195" s="471"/>
      <c r="K195" s="512">
        <v>243135</v>
      </c>
      <c r="L195" s="473">
        <f t="shared" si="152"/>
        <v>2987</v>
      </c>
      <c r="M195" s="440"/>
      <c r="N195" s="471"/>
      <c r="O195" s="460">
        <v>49155</v>
      </c>
      <c r="P195" s="471">
        <f t="shared" si="161"/>
        <v>235</v>
      </c>
      <c r="Q195" s="512">
        <v>48051</v>
      </c>
      <c r="R195" s="471">
        <f t="shared" si="162"/>
        <v>253</v>
      </c>
      <c r="S195" s="512">
        <v>127902</v>
      </c>
      <c r="T195" s="473">
        <f t="shared" si="163"/>
        <v>489</v>
      </c>
      <c r="U195" s="460">
        <v>25173</v>
      </c>
      <c r="V195" s="471">
        <f t="shared" si="164"/>
        <v>14</v>
      </c>
      <c r="W195" s="512">
        <v>135637</v>
      </c>
      <c r="X195" s="473">
        <f t="shared" si="165"/>
        <v>447</v>
      </c>
      <c r="Y195" s="460">
        <v>47007</v>
      </c>
      <c r="Z195" s="471">
        <f t="shared" si="166"/>
        <v>296</v>
      </c>
      <c r="AA195" s="460">
        <v>119753</v>
      </c>
      <c r="AB195" s="471">
        <f t="shared" si="167"/>
        <v>746</v>
      </c>
      <c r="AC195" s="437">
        <f t="shared" si="168"/>
        <v>6514</v>
      </c>
      <c r="AD195" s="166">
        <v>1.04</v>
      </c>
      <c r="AE195" s="124">
        <f>IF(AC195="","",AC195*AD195)</f>
        <v>6774.56</v>
      </c>
      <c r="AF195" s="125">
        <f>SUM(AE193:AE195)</f>
        <v>17223.076</v>
      </c>
      <c r="AG195" s="59">
        <v>473</v>
      </c>
      <c r="AH195" s="147">
        <f t="shared" si="169"/>
        <v>4034</v>
      </c>
      <c r="AI195" s="186">
        <f t="shared" si="170"/>
        <v>4195.360000000001</v>
      </c>
      <c r="AJ195" s="187">
        <f t="shared" si="171"/>
        <v>2480</v>
      </c>
      <c r="AK195" s="186">
        <f t="shared" si="172"/>
        <v>2579.2000000000003</v>
      </c>
    </row>
    <row r="196" spans="1:37" s="54" customFormat="1" ht="12.75">
      <c r="A196" s="127">
        <v>40087</v>
      </c>
      <c r="B196" s="178">
        <v>40102</v>
      </c>
      <c r="C196" s="263">
        <v>86713</v>
      </c>
      <c r="D196" s="466">
        <f t="shared" si="151"/>
        <v>1682</v>
      </c>
      <c r="E196" s="66" t="s">
        <v>68</v>
      </c>
      <c r="F196" s="467">
        <v>50</v>
      </c>
      <c r="G196" s="62">
        <v>16892</v>
      </c>
      <c r="H196" s="463">
        <f t="shared" si="160"/>
        <v>376</v>
      </c>
      <c r="I196" s="67"/>
      <c r="J196" s="467"/>
      <c r="K196" s="66">
        <v>246685</v>
      </c>
      <c r="L196" s="466">
        <f t="shared" si="152"/>
        <v>5147.5</v>
      </c>
      <c r="M196" s="58"/>
      <c r="N196" s="63"/>
      <c r="O196" s="66">
        <v>49547</v>
      </c>
      <c r="P196" s="463">
        <f t="shared" si="161"/>
        <v>392</v>
      </c>
      <c r="Q196" s="64">
        <v>48412</v>
      </c>
      <c r="R196" s="463">
        <f t="shared" si="162"/>
        <v>361</v>
      </c>
      <c r="S196" s="66">
        <v>128769</v>
      </c>
      <c r="T196" s="463">
        <f t="shared" si="163"/>
        <v>867</v>
      </c>
      <c r="U196" s="64">
        <v>25350</v>
      </c>
      <c r="V196" s="463">
        <f t="shared" si="164"/>
        <v>177</v>
      </c>
      <c r="W196" s="66">
        <v>136434</v>
      </c>
      <c r="X196" s="463">
        <f t="shared" si="165"/>
        <v>797</v>
      </c>
      <c r="Y196" s="64">
        <v>47318</v>
      </c>
      <c r="Z196" s="463">
        <f t="shared" si="166"/>
        <v>311</v>
      </c>
      <c r="AA196" s="66">
        <v>121840</v>
      </c>
      <c r="AB196" s="463">
        <f t="shared" si="167"/>
        <v>2087</v>
      </c>
      <c r="AC196" s="183">
        <f t="shared" si="168"/>
        <v>12247.5</v>
      </c>
      <c r="AD196" s="160">
        <v>1.04</v>
      </c>
      <c r="AE196" s="167">
        <f>IF(AC196="","",AC196*AD196)</f>
        <v>12737.4</v>
      </c>
      <c r="AF196" s="162"/>
      <c r="AG196" s="59">
        <v>973</v>
      </c>
      <c r="AH196" s="147">
        <f t="shared" si="169"/>
        <v>7255.5</v>
      </c>
      <c r="AI196" s="186">
        <f t="shared" si="170"/>
        <v>7545.72</v>
      </c>
      <c r="AJ196" s="187">
        <f t="shared" si="171"/>
        <v>4992</v>
      </c>
      <c r="AK196" s="186">
        <f t="shared" si="172"/>
        <v>5191.68</v>
      </c>
    </row>
    <row r="197" spans="1:37" s="54" customFormat="1" ht="12.75">
      <c r="A197" s="127">
        <v>40118</v>
      </c>
      <c r="B197" s="116">
        <v>40133</v>
      </c>
      <c r="C197" s="250">
        <v>88520</v>
      </c>
      <c r="D197" s="470">
        <f t="shared" si="151"/>
        <v>1807</v>
      </c>
      <c r="E197" s="58" t="s">
        <v>68</v>
      </c>
      <c r="F197" s="456">
        <v>50</v>
      </c>
      <c r="G197" s="68">
        <v>17276</v>
      </c>
      <c r="H197" s="468">
        <f t="shared" si="160"/>
        <v>384</v>
      </c>
      <c r="I197" s="67"/>
      <c r="J197" s="456"/>
      <c r="K197" s="58">
        <v>250448</v>
      </c>
      <c r="L197" s="470">
        <f t="shared" si="152"/>
        <v>5456.349999999999</v>
      </c>
      <c r="M197" s="58"/>
      <c r="N197" s="59"/>
      <c r="O197" s="58">
        <v>50008</v>
      </c>
      <c r="P197" s="468">
        <f t="shared" si="161"/>
        <v>461</v>
      </c>
      <c r="Q197" s="67">
        <v>48809</v>
      </c>
      <c r="R197" s="468">
        <f t="shared" si="162"/>
        <v>397</v>
      </c>
      <c r="S197" s="58">
        <v>129825</v>
      </c>
      <c r="T197" s="468">
        <f t="shared" si="163"/>
        <v>1056</v>
      </c>
      <c r="U197" s="67">
        <v>25670</v>
      </c>
      <c r="V197" s="468">
        <f t="shared" si="164"/>
        <v>320</v>
      </c>
      <c r="W197" s="58">
        <v>137416</v>
      </c>
      <c r="X197" s="468">
        <f t="shared" si="165"/>
        <v>982</v>
      </c>
      <c r="Y197" s="67">
        <v>47871</v>
      </c>
      <c r="Z197" s="468">
        <f t="shared" si="166"/>
        <v>553</v>
      </c>
      <c r="AA197" s="58">
        <v>122082</v>
      </c>
      <c r="AB197" s="468">
        <f t="shared" si="167"/>
        <v>242</v>
      </c>
      <c r="AC197" s="183">
        <f t="shared" si="168"/>
        <v>11708.349999999999</v>
      </c>
      <c r="AD197" s="163">
        <v>1.04</v>
      </c>
      <c r="AE197" s="161">
        <f aca="true" t="shared" si="173" ref="AE197:AE210">IF(AC197="","",AC197*AD197)</f>
        <v>12176.684</v>
      </c>
      <c r="AF197" s="164"/>
      <c r="AG197" s="59">
        <v>1218</v>
      </c>
      <c r="AH197" s="147">
        <f t="shared" si="169"/>
        <v>7697.349999999999</v>
      </c>
      <c r="AI197" s="186">
        <f t="shared" si="170"/>
        <v>8005.244</v>
      </c>
      <c r="AJ197" s="187">
        <f t="shared" si="171"/>
        <v>4011</v>
      </c>
      <c r="AK197" s="186">
        <f t="shared" si="172"/>
        <v>4171.4400000000005</v>
      </c>
    </row>
    <row r="198" spans="1:39" s="115" customFormat="1" ht="13.5" thickBot="1">
      <c r="A198" s="127">
        <v>40148</v>
      </c>
      <c r="B198" s="116">
        <v>40162</v>
      </c>
      <c r="C198" s="191">
        <v>90036</v>
      </c>
      <c r="D198" s="473">
        <f t="shared" si="151"/>
        <v>1516</v>
      </c>
      <c r="E198" s="60" t="s">
        <v>68</v>
      </c>
      <c r="F198" s="474">
        <v>50</v>
      </c>
      <c r="G198" s="71">
        <v>17539</v>
      </c>
      <c r="H198" s="471">
        <f t="shared" si="160"/>
        <v>263</v>
      </c>
      <c r="I198" s="69"/>
      <c r="J198" s="474"/>
      <c r="K198" s="60">
        <v>253480</v>
      </c>
      <c r="L198" s="473">
        <f t="shared" si="152"/>
        <v>4396.4</v>
      </c>
      <c r="M198" s="60"/>
      <c r="N198" s="59"/>
      <c r="O198" s="60">
        <v>50692</v>
      </c>
      <c r="P198" s="471">
        <f t="shared" si="161"/>
        <v>684</v>
      </c>
      <c r="Q198" s="69">
        <v>49382</v>
      </c>
      <c r="R198" s="471">
        <f t="shared" si="162"/>
        <v>573</v>
      </c>
      <c r="S198" s="60">
        <v>131387</v>
      </c>
      <c r="T198" s="471">
        <f t="shared" si="163"/>
        <v>1562</v>
      </c>
      <c r="U198" s="69">
        <v>26389</v>
      </c>
      <c r="V198" s="471">
        <f t="shared" si="164"/>
        <v>719</v>
      </c>
      <c r="W198" s="60">
        <v>138874</v>
      </c>
      <c r="X198" s="471">
        <f t="shared" si="165"/>
        <v>1458</v>
      </c>
      <c r="Y198" s="69">
        <v>48662</v>
      </c>
      <c r="Z198" s="471">
        <f t="shared" si="166"/>
        <v>791</v>
      </c>
      <c r="AA198" s="60">
        <v>122782</v>
      </c>
      <c r="AB198" s="471">
        <f t="shared" si="167"/>
        <v>700</v>
      </c>
      <c r="AC198" s="437">
        <f t="shared" si="168"/>
        <v>12712.4</v>
      </c>
      <c r="AD198" s="166">
        <v>1.04</v>
      </c>
      <c r="AE198" s="124">
        <f t="shared" si="173"/>
        <v>13220.896</v>
      </c>
      <c r="AF198" s="125">
        <f>SUM(AE196:AE198)</f>
        <v>38134.979999999996</v>
      </c>
      <c r="AG198" s="59">
        <v>1620</v>
      </c>
      <c r="AH198" s="147">
        <f t="shared" si="169"/>
        <v>6225.4</v>
      </c>
      <c r="AI198" s="186">
        <f t="shared" si="170"/>
        <v>6474.416</v>
      </c>
      <c r="AJ198" s="187">
        <f t="shared" si="171"/>
        <v>6487</v>
      </c>
      <c r="AK198" s="186">
        <f t="shared" si="172"/>
        <v>6746.4800000000005</v>
      </c>
      <c r="AM198" s="54"/>
    </row>
    <row r="199" spans="1:37" s="54" customFormat="1" ht="12.75">
      <c r="A199" s="127">
        <v>40179</v>
      </c>
      <c r="B199" s="178">
        <v>40193</v>
      </c>
      <c r="C199" s="263">
        <v>91022</v>
      </c>
      <c r="D199" s="466">
        <f t="shared" si="151"/>
        <v>986</v>
      </c>
      <c r="E199" s="66" t="s">
        <v>68</v>
      </c>
      <c r="F199" s="467">
        <v>50</v>
      </c>
      <c r="G199" s="62">
        <v>17652</v>
      </c>
      <c r="H199" s="463">
        <f t="shared" si="160"/>
        <v>113</v>
      </c>
      <c r="I199" s="67"/>
      <c r="J199" s="467"/>
      <c r="K199" s="66">
        <v>255410</v>
      </c>
      <c r="L199" s="466">
        <f t="shared" si="152"/>
        <v>2798.5</v>
      </c>
      <c r="M199" s="58"/>
      <c r="N199" s="63"/>
      <c r="O199" s="66">
        <v>51886</v>
      </c>
      <c r="P199" s="463">
        <f t="shared" si="161"/>
        <v>1194</v>
      </c>
      <c r="Q199" s="64">
        <v>50408</v>
      </c>
      <c r="R199" s="463">
        <f aca="true" t="shared" si="174" ref="R199:R210">(Q199-Q198)</f>
        <v>1026</v>
      </c>
      <c r="S199" s="66">
        <v>133963</v>
      </c>
      <c r="T199" s="463">
        <f aca="true" t="shared" si="175" ref="T199:T210">(S199-S198)</f>
        <v>2576</v>
      </c>
      <c r="U199" s="64">
        <v>27226</v>
      </c>
      <c r="V199" s="463">
        <f aca="true" t="shared" si="176" ref="V199:V210">(U199-U198)</f>
        <v>837</v>
      </c>
      <c r="W199" s="66">
        <v>141166</v>
      </c>
      <c r="X199" s="463">
        <f aca="true" t="shared" si="177" ref="X199:X210">(W199-W198)</f>
        <v>2292</v>
      </c>
      <c r="Y199" s="64">
        <v>49860</v>
      </c>
      <c r="Z199" s="463">
        <f aca="true" t="shared" si="178" ref="Z199:Z210">(Y199-Y198)</f>
        <v>1198</v>
      </c>
      <c r="AA199" s="66">
        <v>126592</v>
      </c>
      <c r="AB199" s="463">
        <f aca="true" t="shared" si="179" ref="AB199:AB210">(AA199-AA198)</f>
        <v>3810</v>
      </c>
      <c r="AC199" s="183">
        <f t="shared" si="168"/>
        <v>16880.5</v>
      </c>
      <c r="AD199" s="160">
        <v>1.04</v>
      </c>
      <c r="AE199" s="167">
        <f t="shared" si="173"/>
        <v>17555.72</v>
      </c>
      <c r="AF199" s="162"/>
      <c r="AG199" s="59">
        <v>3186</v>
      </c>
      <c r="AH199" s="147">
        <f t="shared" si="169"/>
        <v>3947.5</v>
      </c>
      <c r="AI199" s="186">
        <f t="shared" si="170"/>
        <v>4105.400000000001</v>
      </c>
      <c r="AJ199" s="187">
        <f t="shared" si="171"/>
        <v>12933</v>
      </c>
      <c r="AK199" s="186">
        <f t="shared" si="172"/>
        <v>13450.32</v>
      </c>
    </row>
    <row r="200" spans="1:37" s="54" customFormat="1" ht="12.75">
      <c r="A200" s="127">
        <v>40210</v>
      </c>
      <c r="B200" s="116">
        <v>40224</v>
      </c>
      <c r="C200" s="250">
        <v>93208</v>
      </c>
      <c r="D200" s="470">
        <f t="shared" si="151"/>
        <v>2186</v>
      </c>
      <c r="E200" s="58" t="s">
        <v>68</v>
      </c>
      <c r="F200" s="456">
        <v>50</v>
      </c>
      <c r="G200" s="68">
        <v>18027</v>
      </c>
      <c r="H200" s="468">
        <f t="shared" si="160"/>
        <v>375</v>
      </c>
      <c r="I200" s="67"/>
      <c r="J200" s="456"/>
      <c r="K200" s="58">
        <v>259815</v>
      </c>
      <c r="L200" s="470">
        <f t="shared" si="152"/>
        <v>6387.25</v>
      </c>
      <c r="M200" s="58"/>
      <c r="N200" s="59"/>
      <c r="O200" s="58">
        <v>52011</v>
      </c>
      <c r="P200" s="468">
        <f t="shared" si="161"/>
        <v>125</v>
      </c>
      <c r="Q200" s="67">
        <v>51437</v>
      </c>
      <c r="R200" s="468">
        <f t="shared" si="174"/>
        <v>1029</v>
      </c>
      <c r="S200" s="58">
        <v>136500</v>
      </c>
      <c r="T200" s="468">
        <f t="shared" si="175"/>
        <v>2537</v>
      </c>
      <c r="U200" s="67">
        <v>28156</v>
      </c>
      <c r="V200" s="468">
        <f t="shared" si="176"/>
        <v>930</v>
      </c>
      <c r="W200" s="58">
        <v>143434</v>
      </c>
      <c r="X200" s="468">
        <f t="shared" si="177"/>
        <v>2268</v>
      </c>
      <c r="Y200" s="67">
        <v>50033</v>
      </c>
      <c r="Z200" s="468">
        <f t="shared" si="178"/>
        <v>173</v>
      </c>
      <c r="AA200" s="58">
        <v>130300</v>
      </c>
      <c r="AB200" s="468">
        <f t="shared" si="179"/>
        <v>3708</v>
      </c>
      <c r="AC200" s="183">
        <f t="shared" si="168"/>
        <v>19768.25</v>
      </c>
      <c r="AD200" s="163">
        <v>1.04</v>
      </c>
      <c r="AE200" s="161">
        <f t="shared" si="173"/>
        <v>20558.98</v>
      </c>
      <c r="AF200" s="164"/>
      <c r="AG200" s="59">
        <v>3670</v>
      </c>
      <c r="AH200" s="147">
        <f t="shared" si="169"/>
        <v>8998.25</v>
      </c>
      <c r="AI200" s="186">
        <f t="shared" si="170"/>
        <v>9358.18</v>
      </c>
      <c r="AJ200" s="187">
        <f t="shared" si="171"/>
        <v>10770</v>
      </c>
      <c r="AK200" s="186">
        <f t="shared" si="172"/>
        <v>11200.800000000001</v>
      </c>
    </row>
    <row r="201" spans="1:39" s="115" customFormat="1" ht="13.5" thickBot="1">
      <c r="A201" s="127">
        <v>40238</v>
      </c>
      <c r="B201" s="116">
        <v>40252</v>
      </c>
      <c r="C201" s="191">
        <v>94832</v>
      </c>
      <c r="D201" s="473">
        <f t="shared" si="151"/>
        <v>1624</v>
      </c>
      <c r="E201" s="60" t="s">
        <v>68</v>
      </c>
      <c r="F201" s="474">
        <v>50</v>
      </c>
      <c r="G201" s="71">
        <v>18276</v>
      </c>
      <c r="H201" s="471">
        <f t="shared" si="160"/>
        <v>249</v>
      </c>
      <c r="I201" s="69"/>
      <c r="J201" s="474"/>
      <c r="K201" s="60">
        <v>262901</v>
      </c>
      <c r="L201" s="473">
        <f t="shared" si="152"/>
        <v>4474.7</v>
      </c>
      <c r="M201" s="60"/>
      <c r="N201" s="59"/>
      <c r="O201" s="60">
        <v>53789</v>
      </c>
      <c r="P201" s="471">
        <f t="shared" si="161"/>
        <v>1778</v>
      </c>
      <c r="Q201" s="69">
        <v>52126</v>
      </c>
      <c r="R201" s="471">
        <f t="shared" si="174"/>
        <v>689</v>
      </c>
      <c r="S201" s="60">
        <v>138282</v>
      </c>
      <c r="T201" s="471">
        <f t="shared" si="175"/>
        <v>1782</v>
      </c>
      <c r="U201" s="69">
        <v>28703</v>
      </c>
      <c r="V201" s="471">
        <f t="shared" si="176"/>
        <v>547</v>
      </c>
      <c r="W201" s="60">
        <v>144034</v>
      </c>
      <c r="X201" s="471">
        <f t="shared" si="177"/>
        <v>600</v>
      </c>
      <c r="Y201" s="69">
        <v>51876</v>
      </c>
      <c r="Z201" s="471">
        <f t="shared" si="178"/>
        <v>1843</v>
      </c>
      <c r="AA201" s="60">
        <v>131270</v>
      </c>
      <c r="AB201" s="471">
        <f t="shared" si="179"/>
        <v>970</v>
      </c>
      <c r="AC201" s="437">
        <f t="shared" si="168"/>
        <v>14606.7</v>
      </c>
      <c r="AD201" s="166">
        <v>1.04</v>
      </c>
      <c r="AE201" s="124">
        <f t="shared" si="173"/>
        <v>15190.968</v>
      </c>
      <c r="AF201" s="125">
        <f>SUM(AE199:AE201)</f>
        <v>53305.668</v>
      </c>
      <c r="AG201" s="59">
        <v>2497</v>
      </c>
      <c r="AH201" s="147">
        <f t="shared" si="169"/>
        <v>6397.7</v>
      </c>
      <c r="AI201" s="186">
        <f t="shared" si="170"/>
        <v>6653.608</v>
      </c>
      <c r="AJ201" s="187">
        <f t="shared" si="171"/>
        <v>8209</v>
      </c>
      <c r="AK201" s="186">
        <f t="shared" si="172"/>
        <v>8537.36</v>
      </c>
      <c r="AM201" s="54"/>
    </row>
    <row r="202" spans="1:37" s="54" customFormat="1" ht="12.75">
      <c r="A202" s="127">
        <v>40269</v>
      </c>
      <c r="B202" s="178">
        <v>40283</v>
      </c>
      <c r="C202" s="263">
        <v>97237</v>
      </c>
      <c r="D202" s="466">
        <f t="shared" si="151"/>
        <v>2405</v>
      </c>
      <c r="E202" s="66" t="s">
        <v>68</v>
      </c>
      <c r="F202" s="467">
        <v>50</v>
      </c>
      <c r="G202" s="62">
        <v>18611</v>
      </c>
      <c r="H202" s="463">
        <f t="shared" si="160"/>
        <v>335</v>
      </c>
      <c r="I202" s="67"/>
      <c r="J202" s="467"/>
      <c r="K202" s="66">
        <v>267381</v>
      </c>
      <c r="L202" s="466">
        <f t="shared" si="152"/>
        <v>6496</v>
      </c>
      <c r="M202" s="58"/>
      <c r="N202" s="63"/>
      <c r="O202" s="66">
        <v>54403</v>
      </c>
      <c r="P202" s="463">
        <f t="shared" si="161"/>
        <v>614</v>
      </c>
      <c r="Q202" s="64">
        <v>52631</v>
      </c>
      <c r="R202" s="463">
        <f t="shared" si="174"/>
        <v>505</v>
      </c>
      <c r="S202" s="66">
        <v>140609</v>
      </c>
      <c r="T202" s="463">
        <f t="shared" si="175"/>
        <v>2327</v>
      </c>
      <c r="U202" s="64">
        <v>29111</v>
      </c>
      <c r="V202" s="463">
        <f t="shared" si="176"/>
        <v>408</v>
      </c>
      <c r="W202" s="66">
        <v>146164</v>
      </c>
      <c r="X202" s="463">
        <f t="shared" si="177"/>
        <v>2130</v>
      </c>
      <c r="Y202" s="64">
        <v>52476</v>
      </c>
      <c r="Z202" s="463">
        <f t="shared" si="178"/>
        <v>600</v>
      </c>
      <c r="AA202" s="66">
        <v>132574</v>
      </c>
      <c r="AB202" s="463">
        <f t="shared" si="179"/>
        <v>1304</v>
      </c>
      <c r="AC202" s="183">
        <f t="shared" si="168"/>
        <v>17174</v>
      </c>
      <c r="AD202" s="160">
        <v>1.04</v>
      </c>
      <c r="AE202" s="167">
        <f t="shared" si="173"/>
        <v>17860.96</v>
      </c>
      <c r="AF202" s="162"/>
      <c r="AG202" s="59">
        <v>2368</v>
      </c>
      <c r="AH202" s="147">
        <f t="shared" si="169"/>
        <v>9286</v>
      </c>
      <c r="AI202" s="186">
        <f t="shared" si="170"/>
        <v>9657.44</v>
      </c>
      <c r="AJ202" s="187">
        <f t="shared" si="171"/>
        <v>7888</v>
      </c>
      <c r="AK202" s="186">
        <f t="shared" si="172"/>
        <v>8203.52</v>
      </c>
    </row>
    <row r="203" spans="1:37" s="54" customFormat="1" ht="12.75">
      <c r="A203" s="127">
        <v>40299</v>
      </c>
      <c r="B203" s="116">
        <v>40312</v>
      </c>
      <c r="C203" s="250">
        <v>98265</v>
      </c>
      <c r="D203" s="470">
        <f t="shared" si="151"/>
        <v>1028</v>
      </c>
      <c r="E203" s="58" t="s">
        <v>68</v>
      </c>
      <c r="F203" s="456">
        <v>50</v>
      </c>
      <c r="G203" s="68">
        <v>18761</v>
      </c>
      <c r="H203" s="468">
        <f t="shared" si="160"/>
        <v>150</v>
      </c>
      <c r="I203" s="67"/>
      <c r="J203" s="456"/>
      <c r="K203" s="58">
        <v>269165</v>
      </c>
      <c r="L203" s="470">
        <f t="shared" si="152"/>
        <v>2586.7999999999997</v>
      </c>
      <c r="M203" s="58"/>
      <c r="N203" s="59"/>
      <c r="O203" s="58">
        <v>54757</v>
      </c>
      <c r="P203" s="468">
        <f t="shared" si="161"/>
        <v>354</v>
      </c>
      <c r="Q203" s="67">
        <v>52958</v>
      </c>
      <c r="R203" s="468">
        <f t="shared" si="174"/>
        <v>327</v>
      </c>
      <c r="S203" s="58">
        <v>140902</v>
      </c>
      <c r="T203" s="468">
        <f t="shared" si="175"/>
        <v>293</v>
      </c>
      <c r="U203" s="67">
        <v>29332</v>
      </c>
      <c r="V203" s="468">
        <f t="shared" si="176"/>
        <v>221</v>
      </c>
      <c r="W203" s="58">
        <v>146716</v>
      </c>
      <c r="X203" s="468">
        <f t="shared" si="177"/>
        <v>552</v>
      </c>
      <c r="Y203" s="67">
        <v>52840</v>
      </c>
      <c r="Z203" s="468">
        <f t="shared" si="178"/>
        <v>364</v>
      </c>
      <c r="AA203" s="58">
        <v>133297</v>
      </c>
      <c r="AB203" s="468">
        <f t="shared" si="179"/>
        <v>723</v>
      </c>
      <c r="AC203" s="183">
        <f t="shared" si="168"/>
        <v>6648.799999999999</v>
      </c>
      <c r="AD203" s="163">
        <v>1.04</v>
      </c>
      <c r="AE203" s="161">
        <f t="shared" si="173"/>
        <v>6914.7519999999995</v>
      </c>
      <c r="AF203" s="164"/>
      <c r="AG203" s="59">
        <v>1621</v>
      </c>
      <c r="AH203" s="147">
        <f t="shared" si="169"/>
        <v>3814.7999999999997</v>
      </c>
      <c r="AI203" s="186">
        <f t="shared" si="170"/>
        <v>3967.392</v>
      </c>
      <c r="AJ203" s="187">
        <f t="shared" si="171"/>
        <v>2834</v>
      </c>
      <c r="AK203" s="186">
        <f t="shared" si="172"/>
        <v>2947.36</v>
      </c>
    </row>
    <row r="204" spans="1:39" s="115" customFormat="1" ht="13.5" thickBot="1">
      <c r="A204" s="127">
        <v>40330</v>
      </c>
      <c r="B204" s="116">
        <v>40343</v>
      </c>
      <c r="C204" s="191">
        <v>98635</v>
      </c>
      <c r="D204" s="473">
        <f t="shared" si="151"/>
        <v>370</v>
      </c>
      <c r="E204" s="60" t="s">
        <v>68</v>
      </c>
      <c r="F204" s="474">
        <v>50</v>
      </c>
      <c r="G204" s="71">
        <v>18873</v>
      </c>
      <c r="H204" s="471">
        <f t="shared" si="160"/>
        <v>112</v>
      </c>
      <c r="I204" s="69"/>
      <c r="J204" s="474"/>
      <c r="K204" s="60">
        <v>270253</v>
      </c>
      <c r="L204" s="473">
        <f t="shared" si="152"/>
        <v>1577.6</v>
      </c>
      <c r="M204" s="60"/>
      <c r="N204" s="59"/>
      <c r="O204" s="60">
        <v>54927</v>
      </c>
      <c r="P204" s="471">
        <f t="shared" si="161"/>
        <v>170</v>
      </c>
      <c r="Q204" s="69">
        <v>53252</v>
      </c>
      <c r="R204" s="471">
        <f t="shared" si="174"/>
        <v>294</v>
      </c>
      <c r="S204" s="60">
        <v>141036</v>
      </c>
      <c r="T204" s="471">
        <f t="shared" si="175"/>
        <v>134</v>
      </c>
      <c r="U204" s="69">
        <v>29379</v>
      </c>
      <c r="V204" s="471">
        <f t="shared" si="176"/>
        <v>47</v>
      </c>
      <c r="W204" s="60">
        <v>147112</v>
      </c>
      <c r="X204" s="471">
        <f t="shared" si="177"/>
        <v>396</v>
      </c>
      <c r="Y204" s="69">
        <v>53062</v>
      </c>
      <c r="Z204" s="471">
        <f t="shared" si="178"/>
        <v>222</v>
      </c>
      <c r="AA204" s="60">
        <v>133699</v>
      </c>
      <c r="AB204" s="471">
        <f t="shared" si="179"/>
        <v>402</v>
      </c>
      <c r="AC204" s="437">
        <f t="shared" si="168"/>
        <v>3774.6</v>
      </c>
      <c r="AD204" s="166">
        <v>1.04</v>
      </c>
      <c r="AE204" s="124">
        <f t="shared" si="173"/>
        <v>3925.584</v>
      </c>
      <c r="AF204" s="125">
        <f>SUM(AE202:AE204)</f>
        <v>28701.296</v>
      </c>
      <c r="AG204" s="59">
        <v>800</v>
      </c>
      <c r="AH204" s="147">
        <f t="shared" si="169"/>
        <v>2109.6</v>
      </c>
      <c r="AI204" s="186">
        <f t="shared" si="170"/>
        <v>2193.984</v>
      </c>
      <c r="AJ204" s="187">
        <f t="shared" si="171"/>
        <v>1665</v>
      </c>
      <c r="AK204" s="186">
        <f t="shared" si="172"/>
        <v>1731.6000000000001</v>
      </c>
      <c r="AM204" s="54"/>
    </row>
    <row r="205" spans="1:37" s="54" customFormat="1" ht="12.75">
      <c r="A205" s="127">
        <v>40360</v>
      </c>
      <c r="B205" s="178">
        <v>40375</v>
      </c>
      <c r="C205" s="263">
        <v>99150</v>
      </c>
      <c r="D205" s="466">
        <f t="shared" si="151"/>
        <v>515</v>
      </c>
      <c r="E205" s="66" t="s">
        <v>68</v>
      </c>
      <c r="F205" s="467">
        <v>50</v>
      </c>
      <c r="G205" s="62">
        <v>18970</v>
      </c>
      <c r="H205" s="463">
        <f t="shared" si="160"/>
        <v>97</v>
      </c>
      <c r="I205" s="67"/>
      <c r="J205" s="467"/>
      <c r="K205" s="66">
        <v>271630</v>
      </c>
      <c r="L205" s="466">
        <f t="shared" si="152"/>
        <v>1996.6499999999999</v>
      </c>
      <c r="M205" s="58"/>
      <c r="N205" s="63"/>
      <c r="O205" s="66">
        <v>55053</v>
      </c>
      <c r="P205" s="463">
        <f t="shared" si="161"/>
        <v>126</v>
      </c>
      <c r="Q205" s="64">
        <v>53591</v>
      </c>
      <c r="R205" s="463">
        <f t="shared" si="174"/>
        <v>339</v>
      </c>
      <c r="S205" s="66">
        <v>141666</v>
      </c>
      <c r="T205" s="463">
        <f t="shared" si="175"/>
        <v>630</v>
      </c>
      <c r="U205" s="64">
        <v>29406</v>
      </c>
      <c r="V205" s="463">
        <f t="shared" si="176"/>
        <v>27</v>
      </c>
      <c r="W205" s="66">
        <v>147366</v>
      </c>
      <c r="X205" s="463">
        <f t="shared" si="177"/>
        <v>254</v>
      </c>
      <c r="Y205" s="64">
        <v>53329</v>
      </c>
      <c r="Z205" s="463">
        <f t="shared" si="178"/>
        <v>267</v>
      </c>
      <c r="AA205" s="66">
        <v>134200</v>
      </c>
      <c r="AB205" s="463">
        <f t="shared" si="179"/>
        <v>501</v>
      </c>
      <c r="AC205" s="183">
        <f t="shared" si="168"/>
        <v>4802.65</v>
      </c>
      <c r="AD205" s="160">
        <f>Rates!$E$22</f>
        <v>0.826</v>
      </c>
      <c r="AE205" s="167">
        <f t="shared" si="173"/>
        <v>3966.9888999999994</v>
      </c>
      <c r="AF205" s="162"/>
      <c r="AG205" s="59">
        <v>362</v>
      </c>
      <c r="AH205" s="147">
        <f aca="true" t="shared" si="180" ref="AH205:AH216">D205+F205+H205+L205</f>
        <v>2658.6499999999996</v>
      </c>
      <c r="AI205" s="186">
        <f aca="true" t="shared" si="181" ref="AI205:AI216">AH205*AD205</f>
        <v>2196.0448999999994</v>
      </c>
      <c r="AJ205" s="187">
        <f aca="true" t="shared" si="182" ref="AJ205:AJ216">P205+R205+T205+V205+X205+Z205+AB205</f>
        <v>2144</v>
      </c>
      <c r="AK205" s="186">
        <f aca="true" t="shared" si="183" ref="AK205:AK216">AJ205*AD205</f>
        <v>1770.944</v>
      </c>
    </row>
    <row r="206" spans="1:37" s="54" customFormat="1" ht="12.75">
      <c r="A206" s="127">
        <v>40391</v>
      </c>
      <c r="B206" s="116">
        <v>40406</v>
      </c>
      <c r="C206" s="250">
        <v>99534</v>
      </c>
      <c r="D206" s="470">
        <f t="shared" si="151"/>
        <v>384</v>
      </c>
      <c r="E206" s="58" t="s">
        <v>68</v>
      </c>
      <c r="F206" s="456">
        <v>50</v>
      </c>
      <c r="G206" s="68">
        <v>19058</v>
      </c>
      <c r="H206" s="468">
        <f t="shared" si="160"/>
        <v>88</v>
      </c>
      <c r="I206" s="67"/>
      <c r="J206" s="456"/>
      <c r="K206" s="58">
        <v>273540</v>
      </c>
      <c r="L206" s="470">
        <f t="shared" si="152"/>
        <v>2769.5</v>
      </c>
      <c r="M206" s="58"/>
      <c r="N206" s="59"/>
      <c r="O206" s="58">
        <v>55189</v>
      </c>
      <c r="P206" s="468">
        <f t="shared" si="161"/>
        <v>136</v>
      </c>
      <c r="Q206" s="67">
        <v>53887</v>
      </c>
      <c r="R206" s="468">
        <f t="shared" si="174"/>
        <v>296</v>
      </c>
      <c r="S206" s="58">
        <v>142204</v>
      </c>
      <c r="T206" s="468">
        <f t="shared" si="175"/>
        <v>538</v>
      </c>
      <c r="U206" s="67">
        <v>29421</v>
      </c>
      <c r="V206" s="468">
        <f t="shared" si="176"/>
        <v>15</v>
      </c>
      <c r="W206" s="58">
        <v>147664</v>
      </c>
      <c r="X206" s="468">
        <f t="shared" si="177"/>
        <v>298</v>
      </c>
      <c r="Y206" s="67">
        <v>53501</v>
      </c>
      <c r="Z206" s="468">
        <f t="shared" si="178"/>
        <v>172</v>
      </c>
      <c r="AA206" s="58">
        <v>134531</v>
      </c>
      <c r="AB206" s="468">
        <f t="shared" si="179"/>
        <v>331</v>
      </c>
      <c r="AC206" s="183">
        <f t="shared" si="168"/>
        <v>5077.5</v>
      </c>
      <c r="AD206" s="163">
        <f>Rates!$E$22</f>
        <v>0.826</v>
      </c>
      <c r="AE206" s="161">
        <f t="shared" si="173"/>
        <v>4194.014999999999</v>
      </c>
      <c r="AF206" s="164"/>
      <c r="AG206" s="59"/>
      <c r="AH206" s="147">
        <f t="shared" si="180"/>
        <v>3291.5</v>
      </c>
      <c r="AI206" s="186">
        <f t="shared" si="181"/>
        <v>2718.779</v>
      </c>
      <c r="AJ206" s="187">
        <f t="shared" si="182"/>
        <v>1786</v>
      </c>
      <c r="AK206" s="186">
        <f t="shared" si="183"/>
        <v>1475.2359999999999</v>
      </c>
    </row>
    <row r="207" spans="1:39" s="115" customFormat="1" ht="13.5" thickBot="1">
      <c r="A207" s="127">
        <v>40422</v>
      </c>
      <c r="B207" s="116">
        <v>40438</v>
      </c>
      <c r="C207" s="191">
        <v>100833</v>
      </c>
      <c r="D207" s="473">
        <f t="shared" si="151"/>
        <v>1299</v>
      </c>
      <c r="E207" s="60" t="s">
        <v>68</v>
      </c>
      <c r="F207" s="474">
        <v>50</v>
      </c>
      <c r="G207" s="71">
        <v>19250</v>
      </c>
      <c r="H207" s="471">
        <f t="shared" si="160"/>
        <v>192</v>
      </c>
      <c r="I207" s="69"/>
      <c r="J207" s="474"/>
      <c r="K207" s="60">
        <v>275390</v>
      </c>
      <c r="L207" s="473">
        <f t="shared" si="152"/>
        <v>2682.5</v>
      </c>
      <c r="M207" s="60"/>
      <c r="N207" s="59"/>
      <c r="O207" s="60">
        <v>55423</v>
      </c>
      <c r="P207" s="471">
        <f t="shared" si="161"/>
        <v>234</v>
      </c>
      <c r="Q207" s="69">
        <v>54217</v>
      </c>
      <c r="R207" s="471">
        <f t="shared" si="174"/>
        <v>330</v>
      </c>
      <c r="S207" s="60">
        <v>142823</v>
      </c>
      <c r="T207" s="471">
        <f t="shared" si="175"/>
        <v>619</v>
      </c>
      <c r="U207" s="69">
        <v>29436</v>
      </c>
      <c r="V207" s="471">
        <f t="shared" si="176"/>
        <v>15</v>
      </c>
      <c r="W207" s="60">
        <v>148138</v>
      </c>
      <c r="X207" s="471">
        <f t="shared" si="177"/>
        <v>474</v>
      </c>
      <c r="Y207" s="69">
        <v>53842</v>
      </c>
      <c r="Z207" s="471">
        <f t="shared" si="178"/>
        <v>341</v>
      </c>
      <c r="AA207" s="60">
        <v>135226</v>
      </c>
      <c r="AB207" s="471">
        <f t="shared" si="179"/>
        <v>695</v>
      </c>
      <c r="AC207" s="437">
        <f t="shared" si="168"/>
        <v>6931.5</v>
      </c>
      <c r="AD207" s="166">
        <f>Rates!$E$22</f>
        <v>0.826</v>
      </c>
      <c r="AE207" s="124">
        <f t="shared" si="173"/>
        <v>5725.419</v>
      </c>
      <c r="AF207" s="125">
        <f>SUM(AE205:AE207)</f>
        <v>13886.422899999998</v>
      </c>
      <c r="AG207" s="59"/>
      <c r="AH207" s="147">
        <f t="shared" si="180"/>
        <v>4223.5</v>
      </c>
      <c r="AI207" s="186">
        <f t="shared" si="181"/>
        <v>3488.611</v>
      </c>
      <c r="AJ207" s="187">
        <f t="shared" si="182"/>
        <v>2708</v>
      </c>
      <c r="AK207" s="186">
        <f t="shared" si="183"/>
        <v>2236.808</v>
      </c>
      <c r="AM207" s="54"/>
    </row>
    <row r="208" spans="1:37" s="54" customFormat="1" ht="12.75">
      <c r="A208" s="127">
        <v>40452</v>
      </c>
      <c r="B208" s="116">
        <v>40466</v>
      </c>
      <c r="C208" s="263">
        <v>102852</v>
      </c>
      <c r="D208" s="466">
        <f t="shared" si="151"/>
        <v>2019</v>
      </c>
      <c r="E208" s="66" t="s">
        <v>68</v>
      </c>
      <c r="F208" s="467">
        <v>50</v>
      </c>
      <c r="G208" s="62">
        <v>19598</v>
      </c>
      <c r="H208" s="463">
        <f t="shared" si="160"/>
        <v>348</v>
      </c>
      <c r="I208" s="67"/>
      <c r="J208" s="467"/>
      <c r="K208" s="66">
        <v>278761</v>
      </c>
      <c r="L208" s="466">
        <f t="shared" si="152"/>
        <v>4887.95</v>
      </c>
      <c r="M208" s="58"/>
      <c r="N208" s="63"/>
      <c r="O208" s="66">
        <v>55758</v>
      </c>
      <c r="P208" s="463">
        <f t="shared" si="161"/>
        <v>335</v>
      </c>
      <c r="Q208" s="64">
        <v>54596</v>
      </c>
      <c r="R208" s="463">
        <f t="shared" si="174"/>
        <v>379</v>
      </c>
      <c r="S208" s="66">
        <v>143527</v>
      </c>
      <c r="T208" s="463">
        <f t="shared" si="175"/>
        <v>704</v>
      </c>
      <c r="U208" s="64">
        <v>29508</v>
      </c>
      <c r="V208" s="463">
        <f t="shared" si="176"/>
        <v>72</v>
      </c>
      <c r="W208" s="66">
        <v>148702</v>
      </c>
      <c r="X208" s="463">
        <f t="shared" si="177"/>
        <v>564</v>
      </c>
      <c r="Y208" s="64">
        <v>54238</v>
      </c>
      <c r="Z208" s="463">
        <f t="shared" si="178"/>
        <v>396</v>
      </c>
      <c r="AA208" s="66">
        <v>136077</v>
      </c>
      <c r="AB208" s="463">
        <f t="shared" si="179"/>
        <v>851</v>
      </c>
      <c r="AC208" s="183">
        <f t="shared" si="168"/>
        <v>10605.95</v>
      </c>
      <c r="AD208" s="160">
        <f>Rates!$E$22</f>
        <v>0.826</v>
      </c>
      <c r="AE208" s="167">
        <f t="shared" si="173"/>
        <v>8760.5147</v>
      </c>
      <c r="AF208" s="162"/>
      <c r="AG208" s="59"/>
      <c r="AH208" s="147">
        <f t="shared" si="180"/>
        <v>7304.95</v>
      </c>
      <c r="AI208" s="186">
        <f t="shared" si="181"/>
        <v>6033.8886999999995</v>
      </c>
      <c r="AJ208" s="187">
        <f t="shared" si="182"/>
        <v>3301</v>
      </c>
      <c r="AK208" s="186">
        <f t="shared" si="183"/>
        <v>2726.6259999999997</v>
      </c>
    </row>
    <row r="209" spans="1:37" s="54" customFormat="1" ht="12.75">
      <c r="A209" s="127">
        <v>40483</v>
      </c>
      <c r="B209" s="116">
        <v>40497</v>
      </c>
      <c r="C209" s="250">
        <v>105312</v>
      </c>
      <c r="D209" s="470">
        <f t="shared" si="151"/>
        <v>2460</v>
      </c>
      <c r="E209" s="58" t="s">
        <v>68</v>
      </c>
      <c r="F209" s="456">
        <v>50</v>
      </c>
      <c r="G209" s="68">
        <v>19975</v>
      </c>
      <c r="H209" s="468">
        <f t="shared" si="160"/>
        <v>377</v>
      </c>
      <c r="I209" s="67"/>
      <c r="J209" s="456"/>
      <c r="K209" s="58">
        <v>282660</v>
      </c>
      <c r="L209" s="470">
        <f t="shared" si="152"/>
        <v>5653.55</v>
      </c>
      <c r="M209" s="58"/>
      <c r="N209" s="59"/>
      <c r="O209" s="58">
        <v>56270</v>
      </c>
      <c r="P209" s="468">
        <f t="shared" si="161"/>
        <v>512</v>
      </c>
      <c r="Q209" s="67">
        <v>54908</v>
      </c>
      <c r="R209" s="468">
        <f t="shared" si="174"/>
        <v>312</v>
      </c>
      <c r="S209" s="58">
        <v>144642</v>
      </c>
      <c r="T209" s="468">
        <f t="shared" si="175"/>
        <v>1115</v>
      </c>
      <c r="U209" s="67">
        <v>29821</v>
      </c>
      <c r="V209" s="468">
        <f t="shared" si="176"/>
        <v>313</v>
      </c>
      <c r="W209" s="58">
        <v>149741</v>
      </c>
      <c r="X209" s="468">
        <f t="shared" si="177"/>
        <v>1039</v>
      </c>
      <c r="Y209" s="67">
        <v>54794</v>
      </c>
      <c r="Z209" s="468">
        <f t="shared" si="178"/>
        <v>556</v>
      </c>
      <c r="AA209" s="58">
        <v>137241</v>
      </c>
      <c r="AB209" s="468">
        <f t="shared" si="179"/>
        <v>1164</v>
      </c>
      <c r="AC209" s="183">
        <f t="shared" si="168"/>
        <v>13551.55</v>
      </c>
      <c r="AD209" s="163">
        <f>Rates!$E$22</f>
        <v>0.826</v>
      </c>
      <c r="AE209" s="161">
        <f t="shared" si="173"/>
        <v>11193.5803</v>
      </c>
      <c r="AF209" s="164"/>
      <c r="AG209" s="59"/>
      <c r="AH209" s="147">
        <f t="shared" si="180"/>
        <v>8540.55</v>
      </c>
      <c r="AI209" s="186">
        <f t="shared" si="181"/>
        <v>7054.494299999999</v>
      </c>
      <c r="AJ209" s="187">
        <f t="shared" si="182"/>
        <v>5011</v>
      </c>
      <c r="AK209" s="186">
        <f t="shared" si="183"/>
        <v>4139.085999999999</v>
      </c>
    </row>
    <row r="210" spans="1:39" s="115" customFormat="1" ht="13.5" thickBot="1">
      <c r="A210" s="127">
        <v>40513</v>
      </c>
      <c r="B210" s="116">
        <v>40526</v>
      </c>
      <c r="C210" s="191">
        <v>107318</v>
      </c>
      <c r="D210" s="473">
        <f t="shared" si="151"/>
        <v>2006</v>
      </c>
      <c r="E210" s="60" t="s">
        <v>68</v>
      </c>
      <c r="F210" s="474">
        <v>50</v>
      </c>
      <c r="G210" s="71">
        <v>20226</v>
      </c>
      <c r="H210" s="471">
        <f t="shared" si="160"/>
        <v>251</v>
      </c>
      <c r="I210" s="69"/>
      <c r="J210" s="474"/>
      <c r="K210" s="60">
        <v>285931</v>
      </c>
      <c r="L210" s="473">
        <f t="shared" si="152"/>
        <v>4742.95</v>
      </c>
      <c r="M210" s="60"/>
      <c r="N210" s="59"/>
      <c r="O210" s="60">
        <v>57120</v>
      </c>
      <c r="P210" s="471">
        <f t="shared" si="161"/>
        <v>850</v>
      </c>
      <c r="Q210" s="69">
        <v>55655</v>
      </c>
      <c r="R210" s="471">
        <f t="shared" si="174"/>
        <v>747</v>
      </c>
      <c r="S210" s="60">
        <v>146569</v>
      </c>
      <c r="T210" s="471">
        <f t="shared" si="175"/>
        <v>1927</v>
      </c>
      <c r="U210" s="69">
        <v>30454</v>
      </c>
      <c r="V210" s="471">
        <f t="shared" si="176"/>
        <v>633</v>
      </c>
      <c r="W210" s="60">
        <v>151494</v>
      </c>
      <c r="X210" s="471">
        <f t="shared" si="177"/>
        <v>1753</v>
      </c>
      <c r="Y210" s="69">
        <v>55683</v>
      </c>
      <c r="Z210" s="471">
        <f t="shared" si="178"/>
        <v>889</v>
      </c>
      <c r="AA210" s="60">
        <v>139217</v>
      </c>
      <c r="AB210" s="471">
        <f t="shared" si="179"/>
        <v>1976</v>
      </c>
      <c r="AC210" s="437">
        <f t="shared" si="168"/>
        <v>15824.95</v>
      </c>
      <c r="AD210" s="166">
        <f>Rates!$E$22</f>
        <v>0.826</v>
      </c>
      <c r="AE210" s="124">
        <f t="shared" si="173"/>
        <v>13071.4087</v>
      </c>
      <c r="AF210" s="125">
        <f>SUM(AE208:AE210)</f>
        <v>33025.5037</v>
      </c>
      <c r="AG210" s="59"/>
      <c r="AH210" s="147">
        <f t="shared" si="180"/>
        <v>7049.95</v>
      </c>
      <c r="AI210" s="186">
        <f t="shared" si="181"/>
        <v>5823.258699999999</v>
      </c>
      <c r="AJ210" s="187">
        <f t="shared" si="182"/>
        <v>8775</v>
      </c>
      <c r="AK210" s="186">
        <f t="shared" si="183"/>
        <v>7248.15</v>
      </c>
      <c r="AM210" s="54"/>
    </row>
    <row r="211" spans="1:37" s="54" customFormat="1" ht="12.75">
      <c r="A211" s="127">
        <v>40544</v>
      </c>
      <c r="B211" s="178"/>
      <c r="C211" s="263"/>
      <c r="D211" s="466"/>
      <c r="E211" s="66"/>
      <c r="F211" s="467"/>
      <c r="G211" s="62"/>
      <c r="H211" s="463"/>
      <c r="I211" s="67"/>
      <c r="J211" s="467"/>
      <c r="K211" s="66"/>
      <c r="L211" s="466"/>
      <c r="M211" s="58"/>
      <c r="N211" s="63"/>
      <c r="O211" s="66"/>
      <c r="P211" s="463"/>
      <c r="Q211" s="64"/>
      <c r="R211" s="463"/>
      <c r="S211" s="66"/>
      <c r="T211" s="463"/>
      <c r="U211" s="64"/>
      <c r="V211" s="463"/>
      <c r="W211" s="66"/>
      <c r="X211" s="463"/>
      <c r="Y211" s="64"/>
      <c r="Z211" s="463"/>
      <c r="AA211" s="66"/>
      <c r="AB211" s="463"/>
      <c r="AC211" s="183"/>
      <c r="AD211" s="160"/>
      <c r="AE211" s="167"/>
      <c r="AF211" s="162"/>
      <c r="AG211" s="59"/>
      <c r="AH211" s="147">
        <f t="shared" si="180"/>
        <v>0</v>
      </c>
      <c r="AI211" s="186">
        <f t="shared" si="181"/>
        <v>0</v>
      </c>
      <c r="AJ211" s="187">
        <f t="shared" si="182"/>
        <v>0</v>
      </c>
      <c r="AK211" s="186">
        <f t="shared" si="183"/>
        <v>0</v>
      </c>
    </row>
    <row r="212" spans="1:37" s="54" customFormat="1" ht="12.75">
      <c r="A212" s="127">
        <v>40575</v>
      </c>
      <c r="B212" s="116"/>
      <c r="C212" s="250"/>
      <c r="D212" s="470"/>
      <c r="E212" s="58"/>
      <c r="F212" s="456"/>
      <c r="G212" s="68"/>
      <c r="H212" s="468"/>
      <c r="I212" s="67"/>
      <c r="J212" s="456"/>
      <c r="K212" s="58"/>
      <c r="L212" s="470"/>
      <c r="M212" s="58"/>
      <c r="N212" s="59"/>
      <c r="O212" s="58"/>
      <c r="P212" s="468"/>
      <c r="Q212" s="67"/>
      <c r="R212" s="468"/>
      <c r="S212" s="58"/>
      <c r="T212" s="468"/>
      <c r="U212" s="67"/>
      <c r="V212" s="468"/>
      <c r="W212" s="58"/>
      <c r="X212" s="468"/>
      <c r="Y212" s="67"/>
      <c r="Z212" s="468"/>
      <c r="AA212" s="58"/>
      <c r="AB212" s="468"/>
      <c r="AC212" s="183"/>
      <c r="AD212" s="163"/>
      <c r="AE212" s="161"/>
      <c r="AF212" s="164"/>
      <c r="AG212" s="59"/>
      <c r="AH212" s="147">
        <f t="shared" si="180"/>
        <v>0</v>
      </c>
      <c r="AI212" s="186">
        <f t="shared" si="181"/>
        <v>0</v>
      </c>
      <c r="AJ212" s="187">
        <f t="shared" si="182"/>
        <v>0</v>
      </c>
      <c r="AK212" s="186">
        <f t="shared" si="183"/>
        <v>0</v>
      </c>
    </row>
    <row r="213" spans="1:39" s="115" customFormat="1" ht="13.5" thickBot="1">
      <c r="A213" s="127">
        <v>40603</v>
      </c>
      <c r="B213" s="116"/>
      <c r="C213" s="191"/>
      <c r="D213" s="473"/>
      <c r="E213" s="60"/>
      <c r="F213" s="474"/>
      <c r="G213" s="71"/>
      <c r="H213" s="471"/>
      <c r="I213" s="69"/>
      <c r="J213" s="474"/>
      <c r="K213" s="60"/>
      <c r="L213" s="473"/>
      <c r="M213" s="60"/>
      <c r="N213" s="59"/>
      <c r="O213" s="60"/>
      <c r="P213" s="471"/>
      <c r="Q213" s="69"/>
      <c r="R213" s="471"/>
      <c r="S213" s="60"/>
      <c r="T213" s="471"/>
      <c r="U213" s="69"/>
      <c r="V213" s="471"/>
      <c r="W213" s="60"/>
      <c r="X213" s="471"/>
      <c r="Y213" s="69"/>
      <c r="Z213" s="471"/>
      <c r="AA213" s="60"/>
      <c r="AB213" s="471"/>
      <c r="AC213" s="437"/>
      <c r="AD213" s="166"/>
      <c r="AE213" s="124"/>
      <c r="AF213" s="125"/>
      <c r="AG213" s="59"/>
      <c r="AH213" s="147">
        <f t="shared" si="180"/>
        <v>0</v>
      </c>
      <c r="AI213" s="186">
        <f t="shared" si="181"/>
        <v>0</v>
      </c>
      <c r="AJ213" s="187">
        <f t="shared" si="182"/>
        <v>0</v>
      </c>
      <c r="AK213" s="186">
        <f t="shared" si="183"/>
        <v>0</v>
      </c>
      <c r="AM213" s="54"/>
    </row>
    <row r="214" spans="1:39" s="115" customFormat="1" ht="12.75">
      <c r="A214" s="127">
        <v>40634</v>
      </c>
      <c r="B214" s="116"/>
      <c r="C214" s="263"/>
      <c r="D214" s="466"/>
      <c r="E214" s="66"/>
      <c r="F214" s="467"/>
      <c r="G214" s="62"/>
      <c r="H214" s="463"/>
      <c r="I214" s="67"/>
      <c r="J214" s="467"/>
      <c r="K214" s="66"/>
      <c r="L214" s="466"/>
      <c r="M214" s="58"/>
      <c r="N214" s="63"/>
      <c r="O214" s="66"/>
      <c r="P214" s="463"/>
      <c r="Q214" s="64"/>
      <c r="R214" s="463"/>
      <c r="S214" s="66"/>
      <c r="T214" s="463"/>
      <c r="U214" s="64"/>
      <c r="V214" s="463"/>
      <c r="W214" s="66"/>
      <c r="X214" s="463"/>
      <c r="Y214" s="64"/>
      <c r="Z214" s="463"/>
      <c r="AA214" s="66"/>
      <c r="AB214" s="463"/>
      <c r="AC214" s="183"/>
      <c r="AD214" s="160"/>
      <c r="AE214" s="167"/>
      <c r="AF214" s="162"/>
      <c r="AG214" s="59"/>
      <c r="AH214" s="147">
        <f t="shared" si="180"/>
        <v>0</v>
      </c>
      <c r="AI214" s="186">
        <f t="shared" si="181"/>
        <v>0</v>
      </c>
      <c r="AJ214" s="187">
        <f t="shared" si="182"/>
        <v>0</v>
      </c>
      <c r="AK214" s="186">
        <f t="shared" si="183"/>
        <v>0</v>
      </c>
      <c r="AM214" s="54"/>
    </row>
    <row r="215" spans="1:39" s="115" customFormat="1" ht="12.75">
      <c r="A215" s="127">
        <v>40664</v>
      </c>
      <c r="B215" s="116"/>
      <c r="C215" s="250"/>
      <c r="D215" s="470"/>
      <c r="E215" s="58"/>
      <c r="F215" s="456"/>
      <c r="G215" s="68"/>
      <c r="H215" s="468"/>
      <c r="I215" s="67"/>
      <c r="J215" s="456"/>
      <c r="K215" s="58"/>
      <c r="L215" s="470"/>
      <c r="M215" s="58"/>
      <c r="N215" s="59"/>
      <c r="O215" s="58"/>
      <c r="P215" s="468"/>
      <c r="Q215" s="67"/>
      <c r="R215" s="468"/>
      <c r="S215" s="58"/>
      <c r="T215" s="468"/>
      <c r="U215" s="67"/>
      <c r="V215" s="468"/>
      <c r="W215" s="58"/>
      <c r="X215" s="468"/>
      <c r="Y215" s="67"/>
      <c r="Z215" s="468"/>
      <c r="AA215" s="58"/>
      <c r="AB215" s="468"/>
      <c r="AC215" s="183"/>
      <c r="AD215" s="163"/>
      <c r="AE215" s="161"/>
      <c r="AF215" s="164"/>
      <c r="AG215" s="59"/>
      <c r="AH215" s="147">
        <f t="shared" si="180"/>
        <v>0</v>
      </c>
      <c r="AI215" s="186">
        <f t="shared" si="181"/>
        <v>0</v>
      </c>
      <c r="AJ215" s="187">
        <f t="shared" si="182"/>
        <v>0</v>
      </c>
      <c r="AK215" s="186">
        <f t="shared" si="183"/>
        <v>0</v>
      </c>
      <c r="AM215" s="54"/>
    </row>
    <row r="216" spans="1:39" s="115" customFormat="1" ht="13.5" thickBot="1">
      <c r="A216" s="127">
        <v>40695</v>
      </c>
      <c r="B216" s="116"/>
      <c r="C216" s="191"/>
      <c r="D216" s="473"/>
      <c r="E216" s="60"/>
      <c r="F216" s="474"/>
      <c r="G216" s="71"/>
      <c r="H216" s="471"/>
      <c r="I216" s="69"/>
      <c r="J216" s="474"/>
      <c r="K216" s="60"/>
      <c r="L216" s="473"/>
      <c r="M216" s="60"/>
      <c r="N216" s="59"/>
      <c r="O216" s="60"/>
      <c r="P216" s="471"/>
      <c r="Q216" s="69"/>
      <c r="R216" s="471"/>
      <c r="S216" s="60"/>
      <c r="T216" s="471"/>
      <c r="U216" s="69"/>
      <c r="V216" s="471"/>
      <c r="W216" s="60"/>
      <c r="X216" s="471"/>
      <c r="Y216" s="69"/>
      <c r="Z216" s="471"/>
      <c r="AA216" s="60"/>
      <c r="AB216" s="471"/>
      <c r="AC216" s="437"/>
      <c r="AD216" s="166"/>
      <c r="AE216" s="124"/>
      <c r="AF216" s="125"/>
      <c r="AG216" s="59"/>
      <c r="AH216" s="147">
        <f t="shared" si="180"/>
        <v>0</v>
      </c>
      <c r="AI216" s="186">
        <f t="shared" si="181"/>
        <v>0</v>
      </c>
      <c r="AJ216" s="187">
        <f t="shared" si="182"/>
        <v>0</v>
      </c>
      <c r="AK216" s="186">
        <f t="shared" si="183"/>
        <v>0</v>
      </c>
      <c r="AM216" s="54"/>
    </row>
    <row r="217" spans="1:37" s="76" customFormat="1" ht="13.5" thickBot="1">
      <c r="A217" s="446" t="s">
        <v>137</v>
      </c>
      <c r="B217" s="329"/>
      <c r="C217" s="330"/>
      <c r="D217" s="331">
        <f>SUM(D193:D204)</f>
        <v>15207</v>
      </c>
      <c r="E217" s="331"/>
      <c r="F217" s="331">
        <f>SUM(F193:F204)</f>
        <v>600</v>
      </c>
      <c r="G217" s="331"/>
      <c r="H217" s="331">
        <f>SUM(H193:H204)</f>
        <v>2658.3999999999996</v>
      </c>
      <c r="I217" s="331"/>
      <c r="J217" s="331">
        <f>SUM(J193:J204)</f>
        <v>0</v>
      </c>
      <c r="K217" s="331"/>
      <c r="L217" s="331">
        <f>SUM(L193:L204)</f>
        <v>47448.35</v>
      </c>
      <c r="M217" s="331"/>
      <c r="N217" s="331">
        <f>SUM(N193:N204)</f>
        <v>0</v>
      </c>
      <c r="O217" s="515"/>
      <c r="P217" s="331">
        <f>SUM(P193:P204)</f>
        <v>6362</v>
      </c>
      <c r="Q217" s="330"/>
      <c r="R217" s="331">
        <f>SUM(R193:R204)</f>
        <v>5959</v>
      </c>
      <c r="S217" s="330"/>
      <c r="T217" s="331">
        <f>SUM(T193:T204)</f>
        <v>14504</v>
      </c>
      <c r="U217" s="330"/>
      <c r="V217" s="331">
        <f>SUM(V193:V204)</f>
        <v>4250</v>
      </c>
      <c r="W217" s="330"/>
      <c r="X217" s="331">
        <f>SUM(X193:X204)</f>
        <v>12408</v>
      </c>
      <c r="Y217" s="330"/>
      <c r="Z217" s="331">
        <f>SUM(Z193:Z204)</f>
        <v>6641</v>
      </c>
      <c r="AA217" s="330"/>
      <c r="AB217" s="331">
        <f>SUM(AB193:AB204)</f>
        <v>16044</v>
      </c>
      <c r="AC217" s="331">
        <f>SUM(AC181:AC192)</f>
        <v>184864.51759999996</v>
      </c>
      <c r="AD217" s="332"/>
      <c r="AE217" s="333" t="s">
        <v>34</v>
      </c>
      <c r="AF217" s="334">
        <f>SUM(AF181:AF192)</f>
        <v>199838.5435256</v>
      </c>
      <c r="AH217" s="256"/>
      <c r="AI217" s="257"/>
      <c r="AJ217" s="258"/>
      <c r="AK217" s="257"/>
    </row>
    <row r="218" spans="1:37" s="76" customFormat="1" ht="12.75">
      <c r="A218" s="447" t="s">
        <v>135</v>
      </c>
      <c r="B218" s="448"/>
      <c r="C218" s="449"/>
      <c r="D218" s="450">
        <f>SUM(D181:D192)</f>
        <v>12474</v>
      </c>
      <c r="E218" s="450"/>
      <c r="F218" s="450">
        <f>SUM(F181:F192)</f>
        <v>29625</v>
      </c>
      <c r="G218" s="450"/>
      <c r="H218" s="450">
        <f>SUM(H181:H192)</f>
        <v>3226.6000000000004</v>
      </c>
      <c r="I218" s="450"/>
      <c r="J218" s="450">
        <f>SUM(J181:J192)</f>
        <v>0</v>
      </c>
      <c r="K218" s="450"/>
      <c r="L218" s="450">
        <f>SUM(L181:L192)</f>
        <v>53188.89999999999</v>
      </c>
      <c r="M218" s="450"/>
      <c r="N218" s="450">
        <f>SUM(N181:N192)</f>
        <v>0</v>
      </c>
      <c r="O218" s="516"/>
      <c r="P218" s="450">
        <f>SUM(P181:P192)</f>
        <v>10139.788999999997</v>
      </c>
      <c r="Q218" s="450"/>
      <c r="R218" s="450">
        <f>SUM(R181:R192)</f>
        <v>9129.729399999998</v>
      </c>
      <c r="S218" s="450"/>
      <c r="T218" s="450">
        <f>SUM(T181:T192)</f>
        <v>18482.298999999995</v>
      </c>
      <c r="U218" s="450"/>
      <c r="V218" s="450">
        <f>SUM(V181:V192)</f>
        <v>5219.3877999999995</v>
      </c>
      <c r="W218" s="450"/>
      <c r="X218" s="450">
        <f>SUM(X181:X192)</f>
        <v>14689.536399999999</v>
      </c>
      <c r="Y218" s="450"/>
      <c r="Z218" s="450">
        <f>SUM(Z181:Z192)</f>
        <v>8921.4466</v>
      </c>
      <c r="AA218" s="450"/>
      <c r="AB218" s="450">
        <f>SUM(AB181:AB192)</f>
        <v>19767.829399999995</v>
      </c>
      <c r="AC218" s="450">
        <f>SUM(AC169:AC180)</f>
        <v>172182.5</v>
      </c>
      <c r="AF218" s="451">
        <f>SUM(AF169:AF180)</f>
        <v>191239.59223300964</v>
      </c>
      <c r="AH218" s="256"/>
      <c r="AI218" s="257"/>
      <c r="AJ218" s="258"/>
      <c r="AK218" s="257"/>
    </row>
    <row r="219" spans="1:37" s="355" customFormat="1" ht="12.75">
      <c r="A219" s="354"/>
      <c r="B219" s="178"/>
      <c r="C219" s="75"/>
      <c r="D219" s="175"/>
      <c r="E219" s="174"/>
      <c r="F219" s="175"/>
      <c r="G219" s="174"/>
      <c r="H219" s="175"/>
      <c r="I219" s="174"/>
      <c r="J219" s="175"/>
      <c r="K219" s="174"/>
      <c r="L219" s="176"/>
      <c r="M219" s="126"/>
      <c r="N219" s="177"/>
      <c r="O219" s="517"/>
      <c r="AG219" s="59"/>
      <c r="AH219" s="147"/>
      <c r="AI219" s="186"/>
      <c r="AJ219" s="187"/>
      <c r="AK219" s="186"/>
    </row>
    <row r="220" spans="1:37" ht="14.25">
      <c r="A220" s="115"/>
      <c r="B220" s="336" t="s">
        <v>128</v>
      </c>
      <c r="AA220" s="519">
        <f>AA198+3810</f>
        <v>126592</v>
      </c>
      <c r="AB220" s="457"/>
      <c r="AG220" s="356"/>
      <c r="AH220" s="357"/>
      <c r="AI220" s="358"/>
      <c r="AJ220" s="359"/>
      <c r="AK220" s="358"/>
    </row>
    <row r="221" spans="2:37" ht="14.25">
      <c r="B221" s="336" t="s">
        <v>129</v>
      </c>
      <c r="AG221" s="356"/>
      <c r="AH221" s="357"/>
      <c r="AI221" s="358"/>
      <c r="AJ221" s="359"/>
      <c r="AK221" s="358"/>
    </row>
    <row r="222" spans="2:37" ht="14.25">
      <c r="B222" s="336"/>
      <c r="C222" s="532" t="s">
        <v>72</v>
      </c>
      <c r="D222" s="532"/>
      <c r="E222" s="360" t="s">
        <v>73</v>
      </c>
      <c r="F222" s="338"/>
      <c r="G222" s="534" t="s">
        <v>74</v>
      </c>
      <c r="H222" s="534"/>
      <c r="I222" s="533" t="s">
        <v>76</v>
      </c>
      <c r="J222" s="533"/>
      <c r="AG222" s="356"/>
      <c r="AH222" s="357"/>
      <c r="AI222" s="358"/>
      <c r="AJ222" s="359"/>
      <c r="AK222" s="358"/>
    </row>
    <row r="223" spans="1:37" s="76" customFormat="1" ht="15" thickBot="1">
      <c r="A223" s="342"/>
      <c r="B223" s="336"/>
      <c r="C223" s="337"/>
      <c r="D223" s="337"/>
      <c r="E223" s="360"/>
      <c r="F223" s="338"/>
      <c r="G223" s="361"/>
      <c r="H223" s="361"/>
      <c r="I223" s="356"/>
      <c r="J223" s="356"/>
      <c r="K223" s="342"/>
      <c r="L223" s="342"/>
      <c r="M223" s="342"/>
      <c r="N223" s="342"/>
      <c r="O223" s="356"/>
      <c r="P223" s="342"/>
      <c r="Q223" s="356"/>
      <c r="R223" s="356"/>
      <c r="S223" s="342"/>
      <c r="T223" s="342"/>
      <c r="U223" s="342"/>
      <c r="V223" s="342"/>
      <c r="W223" s="342"/>
      <c r="X223" s="342"/>
      <c r="Y223" s="342"/>
      <c r="Z223" s="342"/>
      <c r="AA223" s="342"/>
      <c r="AB223" s="342"/>
      <c r="AC223" s="342"/>
      <c r="AD223" s="342"/>
      <c r="AE223" s="342"/>
      <c r="AF223" s="342"/>
      <c r="AG223" s="356"/>
      <c r="AH223" s="211" t="s">
        <v>22</v>
      </c>
      <c r="AI223" s="257"/>
      <c r="AJ223" s="258"/>
      <c r="AK223" s="257"/>
    </row>
    <row r="224" spans="3:37" s="76" customFormat="1" ht="16.5" thickBot="1">
      <c r="C224" s="513" t="s">
        <v>22</v>
      </c>
      <c r="D224" s="514"/>
      <c r="O224" s="213"/>
      <c r="Q224" s="213"/>
      <c r="R224" s="213"/>
      <c r="AH224" s="527" t="s">
        <v>113</v>
      </c>
      <c r="AI224" s="527"/>
      <c r="AJ224" s="527" t="s">
        <v>114</v>
      </c>
      <c r="AK224" s="527"/>
    </row>
    <row r="225" spans="1:37" s="211" customFormat="1" ht="25.5">
      <c r="A225" s="214" t="s">
        <v>79</v>
      </c>
      <c r="B225" s="215" t="s">
        <v>23</v>
      </c>
      <c r="C225" s="528" t="s">
        <v>40</v>
      </c>
      <c r="D225" s="529"/>
      <c r="E225" s="528" t="s">
        <v>126</v>
      </c>
      <c r="F225" s="529"/>
      <c r="G225" s="528" t="s">
        <v>41</v>
      </c>
      <c r="H225" s="529"/>
      <c r="I225" s="528"/>
      <c r="J225" s="529"/>
      <c r="K225" s="528" t="s">
        <v>65</v>
      </c>
      <c r="L225" s="529"/>
      <c r="M225" s="528"/>
      <c r="N225" s="529"/>
      <c r="O225" s="528">
        <v>1000</v>
      </c>
      <c r="P225" s="529"/>
      <c r="Q225" s="528">
        <v>2000</v>
      </c>
      <c r="R225" s="529"/>
      <c r="S225" s="528">
        <v>3000</v>
      </c>
      <c r="T225" s="529"/>
      <c r="U225" s="528">
        <v>4000</v>
      </c>
      <c r="V225" s="529"/>
      <c r="W225" s="528">
        <v>5000</v>
      </c>
      <c r="X225" s="529"/>
      <c r="Y225" s="528">
        <v>6000</v>
      </c>
      <c r="Z225" s="529"/>
      <c r="AA225" s="528">
        <v>7000</v>
      </c>
      <c r="AB225" s="529"/>
      <c r="AC225" s="217" t="s">
        <v>26</v>
      </c>
      <c r="AD225" s="218" t="s">
        <v>24</v>
      </c>
      <c r="AE225" s="217" t="s">
        <v>31</v>
      </c>
      <c r="AF225" s="217" t="s">
        <v>33</v>
      </c>
      <c r="AH225" s="219" t="s">
        <v>26</v>
      </c>
      <c r="AI225" s="219" t="s">
        <v>31</v>
      </c>
      <c r="AJ225" s="219" t="s">
        <v>26</v>
      </c>
      <c r="AK225" s="219" t="s">
        <v>31</v>
      </c>
    </row>
    <row r="226" spans="2:37" s="211" customFormat="1" ht="13.5" thickBot="1">
      <c r="B226" s="116"/>
      <c r="C226" s="225" t="s">
        <v>20</v>
      </c>
      <c r="D226" s="226" t="s">
        <v>63</v>
      </c>
      <c r="E226" s="225" t="s">
        <v>20</v>
      </c>
      <c r="F226" s="226" t="s">
        <v>63</v>
      </c>
      <c r="G226" s="225" t="s">
        <v>20</v>
      </c>
      <c r="H226" s="226" t="s">
        <v>63</v>
      </c>
      <c r="I226" s="225"/>
      <c r="J226" s="226"/>
      <c r="K226" s="225" t="s">
        <v>20</v>
      </c>
      <c r="L226" s="226" t="s">
        <v>63</v>
      </c>
      <c r="M226" s="225"/>
      <c r="N226" s="226"/>
      <c r="O226" s="225" t="s">
        <v>20</v>
      </c>
      <c r="P226" s="226" t="s">
        <v>87</v>
      </c>
      <c r="Q226" s="225" t="s">
        <v>20</v>
      </c>
      <c r="R226" s="226" t="s">
        <v>87</v>
      </c>
      <c r="S226" s="225" t="s">
        <v>20</v>
      </c>
      <c r="T226" s="226" t="s">
        <v>87</v>
      </c>
      <c r="U226" s="225" t="s">
        <v>20</v>
      </c>
      <c r="V226" s="226" t="s">
        <v>87</v>
      </c>
      <c r="W226" s="225" t="s">
        <v>20</v>
      </c>
      <c r="X226" s="226" t="s">
        <v>87</v>
      </c>
      <c r="Y226" s="225" t="s">
        <v>20</v>
      </c>
      <c r="Z226" s="226" t="s">
        <v>87</v>
      </c>
      <c r="AA226" s="225" t="s">
        <v>20</v>
      </c>
      <c r="AB226" s="226" t="s">
        <v>87</v>
      </c>
      <c r="AC226" s="362" t="s">
        <v>67</v>
      </c>
      <c r="AD226" s="227" t="s">
        <v>66</v>
      </c>
      <c r="AE226" s="227" t="s">
        <v>32</v>
      </c>
      <c r="AF226" s="363"/>
      <c r="AH226" s="228" t="s">
        <v>87</v>
      </c>
      <c r="AI226" s="204" t="s">
        <v>32</v>
      </c>
      <c r="AJ226" s="228" t="s">
        <v>87</v>
      </c>
      <c r="AK226" s="204" t="s">
        <v>32</v>
      </c>
    </row>
    <row r="227" spans="1:37" s="76" customFormat="1" ht="12.75">
      <c r="A227" s="121">
        <v>37653</v>
      </c>
      <c r="B227" s="116"/>
      <c r="C227" s="250"/>
      <c r="D227" s="192"/>
      <c r="E227" s="250" t="s">
        <v>68</v>
      </c>
      <c r="F227" s="192"/>
      <c r="G227" s="250"/>
      <c r="H227" s="192"/>
      <c r="I227" s="250"/>
      <c r="J227" s="192"/>
      <c r="K227" s="250"/>
      <c r="L227" s="192"/>
      <c r="M227" s="250"/>
      <c r="N227" s="192"/>
      <c r="O227" s="250">
        <v>73840</v>
      </c>
      <c r="P227" s="192"/>
      <c r="Q227" s="250">
        <v>62120</v>
      </c>
      <c r="R227" s="192"/>
      <c r="S227" s="250">
        <v>2100</v>
      </c>
      <c r="T227" s="192"/>
      <c r="U227" s="250">
        <v>140</v>
      </c>
      <c r="V227" s="192"/>
      <c r="W227" s="250">
        <v>105310</v>
      </c>
      <c r="X227" s="192"/>
      <c r="Y227" s="250">
        <v>52290</v>
      </c>
      <c r="Z227" s="192"/>
      <c r="AA227" s="250">
        <v>125810</v>
      </c>
      <c r="AB227" s="192"/>
      <c r="AC227" s="346"/>
      <c r="AD227" s="347"/>
      <c r="AE227" s="364"/>
      <c r="AF227" s="365"/>
      <c r="AH227" s="256"/>
      <c r="AI227" s="257"/>
      <c r="AJ227" s="258"/>
      <c r="AK227" s="257"/>
    </row>
    <row r="228" spans="1:37" s="76" customFormat="1" ht="12.75">
      <c r="A228" s="121">
        <v>37681</v>
      </c>
      <c r="B228" s="116"/>
      <c r="C228" s="250"/>
      <c r="D228" s="192"/>
      <c r="E228" s="250" t="s">
        <v>68</v>
      </c>
      <c r="F228" s="192"/>
      <c r="G228" s="250"/>
      <c r="H228" s="192"/>
      <c r="I228" s="250"/>
      <c r="J228" s="192"/>
      <c r="K228" s="250"/>
      <c r="L228" s="192"/>
      <c r="M228" s="250"/>
      <c r="N228" s="192"/>
      <c r="O228" s="250">
        <v>90580</v>
      </c>
      <c r="P228" s="192">
        <f aca="true" t="shared" si="184" ref="P228:P264">O228-O227</f>
        <v>16740</v>
      </c>
      <c r="Q228" s="250">
        <v>77310</v>
      </c>
      <c r="R228" s="192">
        <f aca="true" t="shared" si="185" ref="R228:R242">Q228-Q227</f>
        <v>15190</v>
      </c>
      <c r="S228" s="250">
        <v>25650</v>
      </c>
      <c r="T228" s="192">
        <f aca="true" t="shared" si="186" ref="T228:T242">S228-S227</f>
        <v>23550</v>
      </c>
      <c r="U228" s="250">
        <v>240</v>
      </c>
      <c r="V228" s="192">
        <f aca="true" t="shared" si="187" ref="V228:V242">U228-U227</f>
        <v>100</v>
      </c>
      <c r="W228" s="250">
        <v>133300</v>
      </c>
      <c r="X228" s="192">
        <f aca="true" t="shared" si="188" ref="X228:X242">W228-W227</f>
        <v>27990</v>
      </c>
      <c r="Y228" s="250">
        <v>66300</v>
      </c>
      <c r="Z228" s="192">
        <f aca="true" t="shared" si="189" ref="Z228:Z242">Y228-Y227</f>
        <v>14010</v>
      </c>
      <c r="AA228" s="250">
        <v>158640</v>
      </c>
      <c r="AB228" s="192">
        <f aca="true" t="shared" si="190" ref="AB228:AB242">AA228-AA227</f>
        <v>32830</v>
      </c>
      <c r="AC228" s="265"/>
      <c r="AD228" s="348"/>
      <c r="AE228" s="366"/>
      <c r="AF228" s="367"/>
      <c r="AH228" s="256"/>
      <c r="AI228" s="257"/>
      <c r="AJ228" s="258"/>
      <c r="AK228" s="257"/>
    </row>
    <row r="229" spans="1:37" s="115" customFormat="1" ht="12.75">
      <c r="A229" s="121">
        <v>37712</v>
      </c>
      <c r="B229" s="116">
        <v>37741</v>
      </c>
      <c r="C229" s="250"/>
      <c r="D229" s="192"/>
      <c r="E229" s="250" t="s">
        <v>68</v>
      </c>
      <c r="F229" s="57"/>
      <c r="G229" s="58">
        <v>1455</v>
      </c>
      <c r="H229" s="59"/>
      <c r="I229" s="58"/>
      <c r="J229" s="59"/>
      <c r="K229" s="58"/>
      <c r="L229" s="59"/>
      <c r="M229" s="58"/>
      <c r="N229" s="59"/>
      <c r="O229" s="58">
        <v>106120</v>
      </c>
      <c r="P229" s="59">
        <f t="shared" si="184"/>
        <v>15540</v>
      </c>
      <c r="Q229" s="58">
        <v>94080</v>
      </c>
      <c r="R229" s="59">
        <f t="shared" si="185"/>
        <v>16770</v>
      </c>
      <c r="S229" s="58">
        <v>46540</v>
      </c>
      <c r="T229" s="59">
        <f t="shared" si="186"/>
        <v>20890</v>
      </c>
      <c r="U229" s="58">
        <v>832</v>
      </c>
      <c r="V229" s="59">
        <f t="shared" si="187"/>
        <v>592</v>
      </c>
      <c r="W229" s="58">
        <v>148930</v>
      </c>
      <c r="X229" s="59">
        <f t="shared" si="188"/>
        <v>15630</v>
      </c>
      <c r="Y229" s="58">
        <v>78730</v>
      </c>
      <c r="Z229" s="59">
        <f t="shared" si="189"/>
        <v>12430</v>
      </c>
      <c r="AA229" s="58">
        <v>186050</v>
      </c>
      <c r="AB229" s="59">
        <f t="shared" si="190"/>
        <v>27410</v>
      </c>
      <c r="AC229" s="106"/>
      <c r="AD229" s="151"/>
      <c r="AE229" s="368"/>
      <c r="AF229" s="369"/>
      <c r="AH229" s="147"/>
      <c r="AI229" s="186"/>
      <c r="AJ229" s="187"/>
      <c r="AK229" s="186"/>
    </row>
    <row r="230" spans="1:37" s="115" customFormat="1" ht="12.75">
      <c r="A230" s="127">
        <v>37742</v>
      </c>
      <c r="B230" s="116">
        <v>37775</v>
      </c>
      <c r="C230" s="250"/>
      <c r="D230" s="192"/>
      <c r="E230" s="250" t="s">
        <v>68</v>
      </c>
      <c r="F230" s="57"/>
      <c r="G230" s="58">
        <v>1604</v>
      </c>
      <c r="H230" s="59">
        <f aca="true" t="shared" si="191" ref="H230:H237">G230-G229</f>
        <v>149</v>
      </c>
      <c r="I230" s="58"/>
      <c r="J230" s="59"/>
      <c r="K230" s="58">
        <v>9093</v>
      </c>
      <c r="L230" s="59">
        <f>K230-K229</f>
        <v>9093</v>
      </c>
      <c r="M230" s="58"/>
      <c r="N230" s="59"/>
      <c r="O230" s="58">
        <v>115390</v>
      </c>
      <c r="P230" s="59">
        <f t="shared" si="184"/>
        <v>9270</v>
      </c>
      <c r="Q230" s="58">
        <v>98410</v>
      </c>
      <c r="R230" s="59">
        <f t="shared" si="185"/>
        <v>4330</v>
      </c>
      <c r="S230" s="58">
        <v>56960</v>
      </c>
      <c r="T230" s="59">
        <f t="shared" si="186"/>
        <v>10420</v>
      </c>
      <c r="U230" s="58">
        <v>1877</v>
      </c>
      <c r="V230" s="59">
        <f t="shared" si="187"/>
        <v>1045</v>
      </c>
      <c r="W230" s="58">
        <v>155050</v>
      </c>
      <c r="X230" s="59">
        <f t="shared" si="188"/>
        <v>6120</v>
      </c>
      <c r="Y230" s="58">
        <v>82920</v>
      </c>
      <c r="Z230" s="59">
        <f t="shared" si="189"/>
        <v>4190</v>
      </c>
      <c r="AA230" s="58">
        <v>198290</v>
      </c>
      <c r="AB230" s="59">
        <f t="shared" si="190"/>
        <v>12240</v>
      </c>
      <c r="AC230" s="106">
        <f>(D230+F230+H230+L230)*1000/7.48+P230+R230+T230+V230+X230+Z230+AB230</f>
        <v>1283176.4973262032</v>
      </c>
      <c r="AD230" s="151"/>
      <c r="AE230" s="368"/>
      <c r="AF230" s="369"/>
      <c r="AH230" s="147"/>
      <c r="AI230" s="186"/>
      <c r="AJ230" s="187"/>
      <c r="AK230" s="186"/>
    </row>
    <row r="231" spans="1:37" s="115" customFormat="1" ht="13.5" thickBot="1">
      <c r="A231" s="127">
        <v>37773</v>
      </c>
      <c r="B231" s="116">
        <v>37811</v>
      </c>
      <c r="C231" s="191">
        <v>740</v>
      </c>
      <c r="D231" s="194"/>
      <c r="E231" s="191" t="s">
        <v>68</v>
      </c>
      <c r="F231" s="61"/>
      <c r="G231" s="60">
        <v>1755</v>
      </c>
      <c r="H231" s="70">
        <f t="shared" si="191"/>
        <v>151</v>
      </c>
      <c r="I231" s="60"/>
      <c r="J231" s="70"/>
      <c r="K231" s="60">
        <v>10783</v>
      </c>
      <c r="L231" s="70">
        <f>K231-K230</f>
        <v>1690</v>
      </c>
      <c r="M231" s="60"/>
      <c r="N231" s="70"/>
      <c r="O231" s="60">
        <v>122310</v>
      </c>
      <c r="P231" s="70">
        <f t="shared" si="184"/>
        <v>6920</v>
      </c>
      <c r="Q231" s="60">
        <v>101970</v>
      </c>
      <c r="R231" s="70">
        <f t="shared" si="185"/>
        <v>3560</v>
      </c>
      <c r="S231" s="60">
        <v>66950</v>
      </c>
      <c r="T231" s="70">
        <f t="shared" si="186"/>
        <v>9990</v>
      </c>
      <c r="U231" s="60">
        <v>4901</v>
      </c>
      <c r="V231" s="70">
        <f t="shared" si="187"/>
        <v>3024</v>
      </c>
      <c r="W231" s="60">
        <v>161190</v>
      </c>
      <c r="X231" s="70">
        <f t="shared" si="188"/>
        <v>6140</v>
      </c>
      <c r="Y231" s="60">
        <v>89070</v>
      </c>
      <c r="Z231" s="70">
        <f t="shared" si="189"/>
        <v>6150</v>
      </c>
      <c r="AA231" s="60">
        <v>207620</v>
      </c>
      <c r="AB231" s="70">
        <f t="shared" si="190"/>
        <v>9330</v>
      </c>
      <c r="AC231" s="81">
        <f>(D231+F231+H231+L231)*1000/7.48+P231+R231+T231+V231+X231+Z231+AB231</f>
        <v>291236.9946524064</v>
      </c>
      <c r="AD231" s="370"/>
      <c r="AE231" s="371"/>
      <c r="AF231" s="369"/>
      <c r="AH231" s="147"/>
      <c r="AI231" s="186"/>
      <c r="AJ231" s="187"/>
      <c r="AK231" s="186"/>
    </row>
    <row r="232" spans="1:37" s="115" customFormat="1" ht="12.75">
      <c r="A232" s="127">
        <v>37803</v>
      </c>
      <c r="B232" s="116">
        <v>37834</v>
      </c>
      <c r="C232" s="250"/>
      <c r="D232" s="192"/>
      <c r="E232" s="250" t="s">
        <v>68</v>
      </c>
      <c r="F232" s="57">
        <v>0</v>
      </c>
      <c r="G232" s="58">
        <v>1876</v>
      </c>
      <c r="H232" s="59">
        <f t="shared" si="191"/>
        <v>121</v>
      </c>
      <c r="I232" s="58"/>
      <c r="J232" s="59"/>
      <c r="K232" s="58">
        <v>11963</v>
      </c>
      <c r="L232" s="59">
        <f>K232-K231</f>
        <v>1180</v>
      </c>
      <c r="M232" s="58"/>
      <c r="N232" s="59"/>
      <c r="O232" s="58">
        <v>129030</v>
      </c>
      <c r="P232" s="59">
        <f t="shared" si="184"/>
        <v>6720</v>
      </c>
      <c r="Q232" s="58">
        <v>116960</v>
      </c>
      <c r="R232" s="59">
        <f t="shared" si="185"/>
        <v>14990</v>
      </c>
      <c r="S232" s="58">
        <v>76070</v>
      </c>
      <c r="T232" s="59">
        <f t="shared" si="186"/>
        <v>9120</v>
      </c>
      <c r="U232" s="58">
        <v>8923</v>
      </c>
      <c r="V232" s="59">
        <f t="shared" si="187"/>
        <v>4022</v>
      </c>
      <c r="W232" s="58">
        <v>167360</v>
      </c>
      <c r="X232" s="59">
        <f t="shared" si="188"/>
        <v>6170</v>
      </c>
      <c r="Y232" s="58">
        <v>94830</v>
      </c>
      <c r="Z232" s="59">
        <f t="shared" si="189"/>
        <v>5760</v>
      </c>
      <c r="AA232" s="58">
        <v>215940</v>
      </c>
      <c r="AB232" s="59">
        <f t="shared" si="190"/>
        <v>8320</v>
      </c>
      <c r="AC232" s="106">
        <f aca="true" t="shared" si="192" ref="AC232:AC291">(D232+F232+H232+L232)*1000/7.48+P232+R232+T232+V232+X232+Z232+AB232</f>
        <v>229032.48128342244</v>
      </c>
      <c r="AD232" s="151">
        <v>0.035500000000000004</v>
      </c>
      <c r="AE232" s="142">
        <f>AC232*AD232</f>
        <v>8130.653085561497</v>
      </c>
      <c r="AF232" s="372"/>
      <c r="AH232" s="147">
        <f>(D232+F232+H232+L232)*1000/7.48</f>
        <v>173930.48128342244</v>
      </c>
      <c r="AI232" s="186">
        <f aca="true" t="shared" si="193" ref="AI232:AI291">AH232*AD232</f>
        <v>6174.532085561497</v>
      </c>
      <c r="AJ232" s="187">
        <f>P232+R232+T232+V232+X232+Z232+AB232</f>
        <v>55102</v>
      </c>
      <c r="AK232" s="186">
        <f aca="true" t="shared" si="194" ref="AK232:AK291">AJ232*AD232</f>
        <v>1956.121</v>
      </c>
    </row>
    <row r="233" spans="1:37" s="115" customFormat="1" ht="12.75">
      <c r="A233" s="127">
        <v>37834</v>
      </c>
      <c r="B233" s="116">
        <v>37866</v>
      </c>
      <c r="C233" s="250">
        <v>871</v>
      </c>
      <c r="D233" s="192">
        <f>C233-C231</f>
        <v>131</v>
      </c>
      <c r="E233" s="250" t="s">
        <v>68</v>
      </c>
      <c r="F233" s="57">
        <v>0</v>
      </c>
      <c r="G233" s="58">
        <v>2178</v>
      </c>
      <c r="H233" s="59">
        <f t="shared" si="191"/>
        <v>302</v>
      </c>
      <c r="I233" s="58"/>
      <c r="J233" s="59"/>
      <c r="K233" s="58">
        <v>13477</v>
      </c>
      <c r="L233" s="59">
        <f>K233-K232</f>
        <v>1514</v>
      </c>
      <c r="M233" s="58"/>
      <c r="N233" s="59"/>
      <c r="O233" s="58">
        <v>137030</v>
      </c>
      <c r="P233" s="59">
        <f t="shared" si="184"/>
        <v>8000</v>
      </c>
      <c r="Q233" s="58">
        <v>135170</v>
      </c>
      <c r="R233" s="59">
        <f t="shared" si="185"/>
        <v>18210</v>
      </c>
      <c r="S233" s="58">
        <v>86460</v>
      </c>
      <c r="T233" s="59">
        <f t="shared" si="186"/>
        <v>10390</v>
      </c>
      <c r="U233" s="58">
        <v>19021</v>
      </c>
      <c r="V233" s="59">
        <f>U233-U232</f>
        <v>10098</v>
      </c>
      <c r="W233" s="58">
        <v>172900</v>
      </c>
      <c r="X233" s="59">
        <f t="shared" si="188"/>
        <v>5540</v>
      </c>
      <c r="Y233" s="58">
        <v>99450</v>
      </c>
      <c r="Z233" s="59">
        <f t="shared" si="189"/>
        <v>4620</v>
      </c>
      <c r="AA233" s="58">
        <v>224360</v>
      </c>
      <c r="AB233" s="59">
        <f t="shared" si="190"/>
        <v>8420</v>
      </c>
      <c r="AC233" s="106">
        <f t="shared" si="192"/>
        <v>325572.1176470588</v>
      </c>
      <c r="AD233" s="151">
        <v>0.035500000000000004</v>
      </c>
      <c r="AE233" s="157">
        <f>AC233*AD233</f>
        <v>11557.810176470588</v>
      </c>
      <c r="AF233" s="17"/>
      <c r="AH233" s="147">
        <f aca="true" t="shared" si="195" ref="AH233:AH291">(D233+F233+H233+L233)*1000/7.48</f>
        <v>260294.1176470588</v>
      </c>
      <c r="AI233" s="186">
        <f t="shared" si="193"/>
        <v>9240.441176470587</v>
      </c>
      <c r="AJ233" s="187">
        <f aca="true" t="shared" si="196" ref="AJ233:AJ291">P233+R233+T233+V233+X233+Z233+AB233</f>
        <v>65278</v>
      </c>
      <c r="AK233" s="186">
        <f t="shared" si="194"/>
        <v>2317.369</v>
      </c>
    </row>
    <row r="234" spans="1:37" s="115" customFormat="1" ht="13.5" thickBot="1">
      <c r="A234" s="127">
        <v>37865</v>
      </c>
      <c r="B234" s="116">
        <v>37888</v>
      </c>
      <c r="C234" s="191">
        <v>1032</v>
      </c>
      <c r="D234" s="192">
        <f aca="true" t="shared" si="197" ref="D234:D242">C234-C233</f>
        <v>161</v>
      </c>
      <c r="E234" s="191" t="s">
        <v>68</v>
      </c>
      <c r="F234" s="61">
        <v>0</v>
      </c>
      <c r="G234" s="60">
        <v>2833</v>
      </c>
      <c r="H234" s="59">
        <f t="shared" si="191"/>
        <v>655</v>
      </c>
      <c r="I234" s="60"/>
      <c r="J234" s="61"/>
      <c r="K234" s="60" t="s">
        <v>64</v>
      </c>
      <c r="L234" s="61">
        <v>1500</v>
      </c>
      <c r="M234" s="60"/>
      <c r="N234" s="61"/>
      <c r="O234" s="58">
        <v>144480</v>
      </c>
      <c r="P234" s="59">
        <f t="shared" si="184"/>
        <v>7450</v>
      </c>
      <c r="Q234" s="58">
        <v>158510</v>
      </c>
      <c r="R234" s="59">
        <f t="shared" si="185"/>
        <v>23340</v>
      </c>
      <c r="S234" s="58">
        <v>106780</v>
      </c>
      <c r="T234" s="59">
        <f t="shared" si="186"/>
        <v>20320</v>
      </c>
      <c r="U234" s="58">
        <v>23004</v>
      </c>
      <c r="V234" s="59">
        <f>U234-U233</f>
        <v>3983</v>
      </c>
      <c r="W234" s="58">
        <v>188370</v>
      </c>
      <c r="X234" s="59">
        <f t="shared" si="188"/>
        <v>15470</v>
      </c>
      <c r="Y234" s="58">
        <v>106220</v>
      </c>
      <c r="Z234" s="59">
        <f t="shared" si="189"/>
        <v>6770</v>
      </c>
      <c r="AA234" s="58">
        <v>246580</v>
      </c>
      <c r="AB234" s="59">
        <f t="shared" si="190"/>
        <v>22220</v>
      </c>
      <c r="AC234" s="81">
        <f t="shared" si="192"/>
        <v>409178.66844919784</v>
      </c>
      <c r="AD234" s="370">
        <v>0.035500000000000004</v>
      </c>
      <c r="AE234" s="136">
        <f>AC234*AD234</f>
        <v>14525.842729946526</v>
      </c>
      <c r="AF234" s="152">
        <f>SUM(AE232:AE234)</f>
        <v>34214.30599197861</v>
      </c>
      <c r="AG234" s="195"/>
      <c r="AH234" s="147">
        <f t="shared" si="195"/>
        <v>309625.66844919784</v>
      </c>
      <c r="AI234" s="186">
        <f t="shared" si="193"/>
        <v>10991.711229946524</v>
      </c>
      <c r="AJ234" s="187">
        <f t="shared" si="196"/>
        <v>99553</v>
      </c>
      <c r="AK234" s="186">
        <f t="shared" si="194"/>
        <v>3534.1315000000004</v>
      </c>
    </row>
    <row r="235" spans="1:37" s="115" customFormat="1" ht="12.75">
      <c r="A235" s="127">
        <v>37895</v>
      </c>
      <c r="B235" s="178">
        <v>37918</v>
      </c>
      <c r="C235" s="263">
        <v>1253.8</v>
      </c>
      <c r="D235" s="264">
        <f t="shared" si="197"/>
        <v>221.79999999999995</v>
      </c>
      <c r="E235" s="263" t="s">
        <v>68</v>
      </c>
      <c r="F235" s="65">
        <v>250</v>
      </c>
      <c r="G235" s="66">
        <v>3751</v>
      </c>
      <c r="H235" s="63">
        <f t="shared" si="191"/>
        <v>918</v>
      </c>
      <c r="I235" s="66"/>
      <c r="J235" s="63"/>
      <c r="K235" s="66">
        <v>3732</v>
      </c>
      <c r="L235" s="63">
        <f>K235-1205</f>
        <v>2527</v>
      </c>
      <c r="M235" s="66"/>
      <c r="N235" s="63"/>
      <c r="O235" s="66">
        <v>154470</v>
      </c>
      <c r="P235" s="63">
        <f t="shared" si="184"/>
        <v>9990</v>
      </c>
      <c r="Q235" s="64">
        <v>178460</v>
      </c>
      <c r="R235" s="63">
        <f t="shared" si="185"/>
        <v>19950</v>
      </c>
      <c r="S235" s="66">
        <v>129920</v>
      </c>
      <c r="T235" s="63">
        <f>S235-S234</f>
        <v>23140</v>
      </c>
      <c r="U235" s="66">
        <v>23212</v>
      </c>
      <c r="V235" s="63">
        <f>U235-U234</f>
        <v>208</v>
      </c>
      <c r="W235" s="66">
        <v>206550</v>
      </c>
      <c r="X235" s="63">
        <f t="shared" si="188"/>
        <v>18180</v>
      </c>
      <c r="Y235" s="66">
        <v>115300</v>
      </c>
      <c r="Z235" s="63">
        <f t="shared" si="189"/>
        <v>9080</v>
      </c>
      <c r="AA235" s="66">
        <v>276550</v>
      </c>
      <c r="AB235" s="63">
        <f t="shared" si="190"/>
        <v>29970</v>
      </c>
      <c r="AC235" s="106">
        <f t="shared" si="192"/>
        <v>634154.3636363635</v>
      </c>
      <c r="AD235" s="151">
        <v>0.035500000000000004</v>
      </c>
      <c r="AE235" s="142">
        <f aca="true" t="shared" si="198" ref="AE235:AE243">AC235*AD235</f>
        <v>22512.479909090907</v>
      </c>
      <c r="AF235" s="372"/>
      <c r="AH235" s="147">
        <f t="shared" si="195"/>
        <v>523636.3636363636</v>
      </c>
      <c r="AI235" s="186">
        <f t="shared" si="193"/>
        <v>18589.090909090908</v>
      </c>
      <c r="AJ235" s="187">
        <f t="shared" si="196"/>
        <v>110518</v>
      </c>
      <c r="AK235" s="186">
        <f t="shared" si="194"/>
        <v>3923.3890000000006</v>
      </c>
    </row>
    <row r="236" spans="1:37" s="115" customFormat="1" ht="12.75">
      <c r="A236" s="127">
        <v>37926</v>
      </c>
      <c r="B236" s="122">
        <v>37946</v>
      </c>
      <c r="C236" s="250">
        <v>1456</v>
      </c>
      <c r="D236" s="192">
        <f t="shared" si="197"/>
        <v>202.20000000000005</v>
      </c>
      <c r="E236" s="250" t="s">
        <v>68</v>
      </c>
      <c r="F236" s="57">
        <v>250</v>
      </c>
      <c r="G236" s="58">
        <v>4357.7</v>
      </c>
      <c r="H236" s="59">
        <f t="shared" si="191"/>
        <v>606.6999999999998</v>
      </c>
      <c r="I236" s="58"/>
      <c r="J236" s="59"/>
      <c r="K236" s="58">
        <v>6030</v>
      </c>
      <c r="L236" s="59">
        <f aca="true" t="shared" si="199" ref="L236:L258">K236-K235</f>
        <v>2298</v>
      </c>
      <c r="M236" s="58"/>
      <c r="N236" s="59"/>
      <c r="O236" s="58">
        <v>164020</v>
      </c>
      <c r="P236" s="59">
        <f t="shared" si="184"/>
        <v>9550</v>
      </c>
      <c r="Q236" s="67">
        <v>198260</v>
      </c>
      <c r="R236" s="59">
        <f t="shared" si="185"/>
        <v>19800</v>
      </c>
      <c r="S236" s="58">
        <v>150260</v>
      </c>
      <c r="T236" s="59">
        <f t="shared" si="186"/>
        <v>20340</v>
      </c>
      <c r="U236" s="58">
        <v>23523</v>
      </c>
      <c r="V236" s="59">
        <f t="shared" si="187"/>
        <v>311</v>
      </c>
      <c r="W236" s="58">
        <v>222970</v>
      </c>
      <c r="X236" s="59">
        <f t="shared" si="188"/>
        <v>16420</v>
      </c>
      <c r="Y236" s="58">
        <v>123700</v>
      </c>
      <c r="Z236" s="59">
        <f t="shared" si="189"/>
        <v>8400</v>
      </c>
      <c r="AA236" s="58">
        <v>300040</v>
      </c>
      <c r="AB236" s="59">
        <f t="shared" si="190"/>
        <v>23490</v>
      </c>
      <c r="AC236" s="106">
        <f t="shared" si="192"/>
        <v>547094.4224598929</v>
      </c>
      <c r="AD236" s="151">
        <v>0.035500000000000004</v>
      </c>
      <c r="AE236" s="157">
        <f t="shared" si="198"/>
        <v>19421.8519973262</v>
      </c>
      <c r="AF236" s="17"/>
      <c r="AH236" s="147">
        <f t="shared" si="195"/>
        <v>448783.422459893</v>
      </c>
      <c r="AI236" s="186">
        <f t="shared" si="193"/>
        <v>15931.811497326204</v>
      </c>
      <c r="AJ236" s="187">
        <f t="shared" si="196"/>
        <v>98311</v>
      </c>
      <c r="AK236" s="186">
        <f t="shared" si="194"/>
        <v>3490.0405000000005</v>
      </c>
    </row>
    <row r="237" spans="1:37" s="54" customFormat="1" ht="13.5" thickBot="1">
      <c r="A237" s="127">
        <v>37956</v>
      </c>
      <c r="B237" s="114">
        <v>38348</v>
      </c>
      <c r="C237" s="250">
        <v>1633</v>
      </c>
      <c r="D237" s="192">
        <f t="shared" si="197"/>
        <v>177</v>
      </c>
      <c r="E237" s="191" t="s">
        <v>68</v>
      </c>
      <c r="F237" s="61">
        <v>250</v>
      </c>
      <c r="G237" s="58">
        <v>4755.2</v>
      </c>
      <c r="H237" s="59">
        <f t="shared" si="191"/>
        <v>397.5</v>
      </c>
      <c r="I237" s="58"/>
      <c r="J237" s="59"/>
      <c r="K237" s="58">
        <v>8839</v>
      </c>
      <c r="L237" s="59">
        <f t="shared" si="199"/>
        <v>2809</v>
      </c>
      <c r="M237" s="58"/>
      <c r="N237" s="59"/>
      <c r="O237" s="60">
        <v>175130</v>
      </c>
      <c r="P237" s="70">
        <f t="shared" si="184"/>
        <v>11110</v>
      </c>
      <c r="Q237" s="69">
        <v>213410</v>
      </c>
      <c r="R237" s="70">
        <f t="shared" si="185"/>
        <v>15150</v>
      </c>
      <c r="S237" s="60">
        <v>170030</v>
      </c>
      <c r="T237" s="70">
        <f t="shared" si="186"/>
        <v>19770</v>
      </c>
      <c r="U237" s="60">
        <v>23749</v>
      </c>
      <c r="V237" s="70">
        <f t="shared" si="187"/>
        <v>226</v>
      </c>
      <c r="W237" s="60">
        <v>239200</v>
      </c>
      <c r="X237" s="70">
        <f t="shared" si="188"/>
        <v>16230</v>
      </c>
      <c r="Y237" s="60">
        <v>133460</v>
      </c>
      <c r="Z237" s="70">
        <f t="shared" si="189"/>
        <v>9760</v>
      </c>
      <c r="AA237" s="60">
        <v>323010</v>
      </c>
      <c r="AB237" s="70">
        <f t="shared" si="190"/>
        <v>22970</v>
      </c>
      <c r="AC237" s="81">
        <f t="shared" si="192"/>
        <v>580978.0320855614</v>
      </c>
      <c r="AD237" s="370">
        <v>0.035500000000000004</v>
      </c>
      <c r="AE237" s="136">
        <f t="shared" si="198"/>
        <v>20624.720139037432</v>
      </c>
      <c r="AF237" s="152">
        <f>SUM(AE235:AE237)</f>
        <v>62559.05204545454</v>
      </c>
      <c r="AG237" s="195"/>
      <c r="AH237" s="147">
        <f t="shared" si="195"/>
        <v>485762.0320855615</v>
      </c>
      <c r="AI237" s="186">
        <f t="shared" si="193"/>
        <v>17244.552139037434</v>
      </c>
      <c r="AJ237" s="187">
        <f t="shared" si="196"/>
        <v>95216</v>
      </c>
      <c r="AK237" s="186">
        <f t="shared" si="194"/>
        <v>3380.1680000000006</v>
      </c>
    </row>
    <row r="238" spans="1:37" s="115" customFormat="1" ht="12.75">
      <c r="A238" s="127">
        <v>37987</v>
      </c>
      <c r="B238" s="114">
        <v>38015</v>
      </c>
      <c r="C238" s="263">
        <v>1821.46</v>
      </c>
      <c r="D238" s="264">
        <f t="shared" si="197"/>
        <v>188.46000000000004</v>
      </c>
      <c r="E238" s="263" t="s">
        <v>68</v>
      </c>
      <c r="F238" s="73">
        <v>250</v>
      </c>
      <c r="G238" s="62" t="s">
        <v>80</v>
      </c>
      <c r="H238" s="65">
        <f>AVERAGE(H235:H237)</f>
        <v>640.7333333333332</v>
      </c>
      <c r="I238" s="66"/>
      <c r="J238" s="63"/>
      <c r="K238" s="66">
        <v>10768</v>
      </c>
      <c r="L238" s="63">
        <f t="shared" si="199"/>
        <v>1929</v>
      </c>
      <c r="M238" s="66"/>
      <c r="N238" s="63"/>
      <c r="O238" s="66">
        <v>181800</v>
      </c>
      <c r="P238" s="59">
        <f t="shared" si="184"/>
        <v>6670</v>
      </c>
      <c r="Q238" s="66">
        <v>219480</v>
      </c>
      <c r="R238" s="63">
        <f t="shared" si="185"/>
        <v>6070</v>
      </c>
      <c r="S238" s="66">
        <v>189120</v>
      </c>
      <c r="T238" s="63">
        <f t="shared" si="186"/>
        <v>19090</v>
      </c>
      <c r="U238" s="66">
        <v>23822</v>
      </c>
      <c r="V238" s="63">
        <f t="shared" si="187"/>
        <v>73</v>
      </c>
      <c r="W238" s="66">
        <v>253890</v>
      </c>
      <c r="X238" s="63">
        <f t="shared" si="188"/>
        <v>14690</v>
      </c>
      <c r="Y238" s="66">
        <v>139180</v>
      </c>
      <c r="Z238" s="63">
        <f t="shared" si="189"/>
        <v>5720</v>
      </c>
      <c r="AA238" s="66">
        <v>345000</v>
      </c>
      <c r="AB238" s="63">
        <f t="shared" si="190"/>
        <v>21990</v>
      </c>
      <c r="AC238" s="106">
        <f t="shared" si="192"/>
        <v>476467.8841354723</v>
      </c>
      <c r="AD238" s="151">
        <v>0.035500000000000004</v>
      </c>
      <c r="AE238" s="142">
        <f t="shared" si="198"/>
        <v>16914.609886809267</v>
      </c>
      <c r="AF238" s="372"/>
      <c r="AH238" s="147">
        <f t="shared" si="195"/>
        <v>402164.8841354723</v>
      </c>
      <c r="AI238" s="186">
        <f t="shared" si="193"/>
        <v>14276.853386809267</v>
      </c>
      <c r="AJ238" s="187">
        <f t="shared" si="196"/>
        <v>74303</v>
      </c>
      <c r="AK238" s="186">
        <f t="shared" si="194"/>
        <v>2637.7565000000004</v>
      </c>
    </row>
    <row r="239" spans="1:37" s="54" customFormat="1" ht="12.75">
      <c r="A239" s="127">
        <v>38018</v>
      </c>
      <c r="B239" s="122">
        <v>38042</v>
      </c>
      <c r="C239" s="250">
        <v>2029.7</v>
      </c>
      <c r="D239" s="192">
        <f t="shared" si="197"/>
        <v>208.24</v>
      </c>
      <c r="E239" s="250" t="s">
        <v>68</v>
      </c>
      <c r="F239" s="74">
        <v>250</v>
      </c>
      <c r="G239" s="68" t="s">
        <v>80</v>
      </c>
      <c r="H239" s="57">
        <f>AVERAGE(H236:H238)</f>
        <v>548.311111111111</v>
      </c>
      <c r="I239" s="58"/>
      <c r="J239" s="59"/>
      <c r="K239" s="58">
        <v>12835.2</v>
      </c>
      <c r="L239" s="59">
        <f t="shared" si="199"/>
        <v>2067.2000000000007</v>
      </c>
      <c r="M239" s="58"/>
      <c r="N239" s="59"/>
      <c r="O239" s="58">
        <v>188480</v>
      </c>
      <c r="P239" s="59">
        <f t="shared" si="184"/>
        <v>6680</v>
      </c>
      <c r="Q239" s="58">
        <v>226080</v>
      </c>
      <c r="R239" s="59">
        <f t="shared" si="185"/>
        <v>6600</v>
      </c>
      <c r="S239" s="58">
        <v>205950</v>
      </c>
      <c r="T239" s="59">
        <f t="shared" si="186"/>
        <v>16830</v>
      </c>
      <c r="U239" s="58">
        <v>23918</v>
      </c>
      <c r="V239" s="59">
        <f t="shared" si="187"/>
        <v>96</v>
      </c>
      <c r="W239" s="58">
        <v>266570</v>
      </c>
      <c r="X239" s="59">
        <f t="shared" si="188"/>
        <v>12680</v>
      </c>
      <c r="Y239" s="58">
        <v>146300</v>
      </c>
      <c r="Z239" s="59">
        <f t="shared" si="189"/>
        <v>7120</v>
      </c>
      <c r="AA239" s="58">
        <v>363770</v>
      </c>
      <c r="AB239" s="59">
        <f t="shared" si="190"/>
        <v>18770</v>
      </c>
      <c r="AC239" s="106">
        <f t="shared" si="192"/>
        <v>479705.29292929295</v>
      </c>
      <c r="AD239" s="151">
        <v>0.0355</v>
      </c>
      <c r="AE239" s="157">
        <f t="shared" si="198"/>
        <v>17029.537898989896</v>
      </c>
      <c r="AF239" s="17"/>
      <c r="AG239" s="115"/>
      <c r="AH239" s="147">
        <f t="shared" si="195"/>
        <v>410929.29292929295</v>
      </c>
      <c r="AI239" s="186">
        <f t="shared" si="193"/>
        <v>14587.989898989897</v>
      </c>
      <c r="AJ239" s="187">
        <f t="shared" si="196"/>
        <v>68776</v>
      </c>
      <c r="AK239" s="186">
        <f t="shared" si="194"/>
        <v>2441.548</v>
      </c>
    </row>
    <row r="240" spans="1:37" s="115" customFormat="1" ht="13.5" thickBot="1">
      <c r="A240" s="127">
        <v>38047</v>
      </c>
      <c r="B240" s="122">
        <v>38069</v>
      </c>
      <c r="C240" s="191">
        <v>2170.05</v>
      </c>
      <c r="D240" s="194">
        <f t="shared" si="197"/>
        <v>140.35000000000014</v>
      </c>
      <c r="E240" s="191" t="s">
        <v>68</v>
      </c>
      <c r="F240" s="72">
        <v>250</v>
      </c>
      <c r="G240" s="60">
        <v>21.91</v>
      </c>
      <c r="H240" s="61">
        <f>AVERAGE(H237:H239)</f>
        <v>528.8481481481481</v>
      </c>
      <c r="I240" s="60"/>
      <c r="J240" s="70"/>
      <c r="K240" s="60">
        <v>14849.09</v>
      </c>
      <c r="L240" s="70">
        <f t="shared" si="199"/>
        <v>2013.8899999999994</v>
      </c>
      <c r="M240" s="60"/>
      <c r="N240" s="70"/>
      <c r="O240" s="60">
        <v>195120</v>
      </c>
      <c r="P240" s="59">
        <f t="shared" si="184"/>
        <v>6640</v>
      </c>
      <c r="Q240" s="60">
        <v>232810</v>
      </c>
      <c r="R240" s="70">
        <f t="shared" si="185"/>
        <v>6730</v>
      </c>
      <c r="S240" s="60">
        <v>222270</v>
      </c>
      <c r="T240" s="70">
        <f t="shared" si="186"/>
        <v>16320</v>
      </c>
      <c r="U240" s="60">
        <v>24047</v>
      </c>
      <c r="V240" s="70">
        <f t="shared" si="187"/>
        <v>129</v>
      </c>
      <c r="W240" s="60">
        <v>278940</v>
      </c>
      <c r="X240" s="70">
        <f t="shared" si="188"/>
        <v>12370</v>
      </c>
      <c r="Y240" s="60">
        <v>152740</v>
      </c>
      <c r="Z240" s="70">
        <f t="shared" si="189"/>
        <v>6440</v>
      </c>
      <c r="AA240" s="60">
        <v>383230</v>
      </c>
      <c r="AB240" s="70">
        <f t="shared" si="190"/>
        <v>19460</v>
      </c>
      <c r="AC240" s="81">
        <f t="shared" si="192"/>
        <v>460213.083977025</v>
      </c>
      <c r="AD240" s="370">
        <v>0.035500000000000004</v>
      </c>
      <c r="AE240" s="136">
        <f t="shared" si="198"/>
        <v>16337.564481184389</v>
      </c>
      <c r="AF240" s="152">
        <f>SUM(AE238:AE240)</f>
        <v>50281.71226698355</v>
      </c>
      <c r="AG240" s="195"/>
      <c r="AH240" s="147">
        <f t="shared" si="195"/>
        <v>392124.083977025</v>
      </c>
      <c r="AI240" s="186">
        <f t="shared" si="193"/>
        <v>13920.404981184389</v>
      </c>
      <c r="AJ240" s="187">
        <f t="shared" si="196"/>
        <v>68089</v>
      </c>
      <c r="AK240" s="186">
        <f t="shared" si="194"/>
        <v>2417.1595</v>
      </c>
    </row>
    <row r="241" spans="1:37" s="115" customFormat="1" ht="12.75">
      <c r="A241" s="127">
        <v>38078</v>
      </c>
      <c r="B241" s="178">
        <v>38104</v>
      </c>
      <c r="C241" s="263">
        <v>2387.8</v>
      </c>
      <c r="D241" s="264">
        <f>C241-C240</f>
        <v>217.75</v>
      </c>
      <c r="E241" s="263" t="s">
        <v>68</v>
      </c>
      <c r="F241" s="65">
        <v>250</v>
      </c>
      <c r="G241" s="66">
        <v>901.4</v>
      </c>
      <c r="H241" s="63">
        <f>AVERAGE(H238:H240)</f>
        <v>572.6308641975307</v>
      </c>
      <c r="I241" s="66"/>
      <c r="J241" s="63"/>
      <c r="K241" s="66">
        <v>17514.7</v>
      </c>
      <c r="L241" s="63">
        <f t="shared" si="199"/>
        <v>2665.6100000000006</v>
      </c>
      <c r="M241" s="66"/>
      <c r="N241" s="63"/>
      <c r="O241" s="66">
        <v>203330</v>
      </c>
      <c r="P241" s="63">
        <f t="shared" si="184"/>
        <v>8210</v>
      </c>
      <c r="Q241" s="58">
        <v>241020</v>
      </c>
      <c r="R241" s="59">
        <f t="shared" si="185"/>
        <v>8210</v>
      </c>
      <c r="S241" s="58">
        <v>242910</v>
      </c>
      <c r="T241" s="59">
        <f t="shared" si="186"/>
        <v>20640</v>
      </c>
      <c r="U241" s="58">
        <v>24932</v>
      </c>
      <c r="V241" s="59">
        <f t="shared" si="187"/>
        <v>885</v>
      </c>
      <c r="W241" s="58">
        <v>296060</v>
      </c>
      <c r="X241" s="59">
        <f t="shared" si="188"/>
        <v>17120</v>
      </c>
      <c r="Y241" s="58">
        <v>160980</v>
      </c>
      <c r="Z241" s="59">
        <f t="shared" si="189"/>
        <v>8240</v>
      </c>
      <c r="AA241" s="58">
        <v>408390</v>
      </c>
      <c r="AB241" s="59">
        <f t="shared" si="190"/>
        <v>25160</v>
      </c>
      <c r="AC241" s="106">
        <f t="shared" si="192"/>
        <v>583918.3240905791</v>
      </c>
      <c r="AD241" s="151">
        <v>0.035500000000000004</v>
      </c>
      <c r="AE241" s="142">
        <f>AC241*AD241</f>
        <v>20729.10050521556</v>
      </c>
      <c r="AF241" s="372"/>
      <c r="AH241" s="147">
        <f t="shared" si="195"/>
        <v>495453.324090579</v>
      </c>
      <c r="AI241" s="186">
        <f t="shared" si="193"/>
        <v>17588.593005215556</v>
      </c>
      <c r="AJ241" s="187">
        <f t="shared" si="196"/>
        <v>88465</v>
      </c>
      <c r="AK241" s="186">
        <f t="shared" si="194"/>
        <v>3140.5075</v>
      </c>
    </row>
    <row r="242" spans="1:37" s="54" customFormat="1" ht="12.75">
      <c r="A242" s="127">
        <v>38108</v>
      </c>
      <c r="B242" s="122">
        <v>38133</v>
      </c>
      <c r="C242" s="250">
        <v>2398</v>
      </c>
      <c r="D242" s="320">
        <f t="shared" si="197"/>
        <v>10.199999999999818</v>
      </c>
      <c r="E242" s="250" t="s">
        <v>68</v>
      </c>
      <c r="F242" s="74">
        <v>100</v>
      </c>
      <c r="G242" s="58">
        <v>1314</v>
      </c>
      <c r="H242" s="59">
        <f aca="true" t="shared" si="200" ref="H242:H258">G242-G241</f>
        <v>412.6</v>
      </c>
      <c r="I242" s="58"/>
      <c r="J242" s="59"/>
      <c r="K242" s="58">
        <v>18931</v>
      </c>
      <c r="L242" s="59">
        <f t="shared" si="199"/>
        <v>1416.2999999999993</v>
      </c>
      <c r="M242" s="58"/>
      <c r="N242" s="59"/>
      <c r="O242" s="58">
        <v>207390</v>
      </c>
      <c r="P242" s="59">
        <f t="shared" si="184"/>
        <v>4060</v>
      </c>
      <c r="Q242" s="58">
        <v>243630</v>
      </c>
      <c r="R242" s="59">
        <f t="shared" si="185"/>
        <v>2610</v>
      </c>
      <c r="S242" s="58">
        <v>252820</v>
      </c>
      <c r="T242" s="59">
        <f t="shared" si="186"/>
        <v>9910</v>
      </c>
      <c r="U242" s="58">
        <v>27234</v>
      </c>
      <c r="V242" s="59">
        <f t="shared" si="187"/>
        <v>2302</v>
      </c>
      <c r="W242" s="58">
        <v>302580</v>
      </c>
      <c r="X242" s="59">
        <f t="shared" si="188"/>
        <v>6520</v>
      </c>
      <c r="Y242" s="58">
        <v>163390</v>
      </c>
      <c r="Z242" s="59">
        <f t="shared" si="189"/>
        <v>2410</v>
      </c>
      <c r="AA242" s="58">
        <v>418970</v>
      </c>
      <c r="AB242" s="59">
        <f t="shared" si="190"/>
        <v>10580</v>
      </c>
      <c r="AC242" s="106">
        <f t="shared" si="192"/>
        <v>297629.96791443834</v>
      </c>
      <c r="AD242" s="151">
        <v>0.035500000000000004</v>
      </c>
      <c r="AE242" s="157">
        <f t="shared" si="198"/>
        <v>10565.863860962561</v>
      </c>
      <c r="AF242" s="17"/>
      <c r="AG242" s="115"/>
      <c r="AH242" s="147">
        <f t="shared" si="195"/>
        <v>259237.96791443837</v>
      </c>
      <c r="AI242" s="186">
        <f t="shared" si="193"/>
        <v>9202.947860962564</v>
      </c>
      <c r="AJ242" s="187">
        <f t="shared" si="196"/>
        <v>38392</v>
      </c>
      <c r="AK242" s="186">
        <f t="shared" si="194"/>
        <v>1362.9160000000002</v>
      </c>
    </row>
    <row r="243" spans="1:37" s="54" customFormat="1" ht="13.5" thickBot="1">
      <c r="A243" s="127">
        <v>38139</v>
      </c>
      <c r="B243" s="122">
        <v>38161</v>
      </c>
      <c r="C243" s="191">
        <v>2415.2</v>
      </c>
      <c r="D243" s="194">
        <f>C243-C242</f>
        <v>17.199999999999818</v>
      </c>
      <c r="E243" s="191" t="s">
        <v>68</v>
      </c>
      <c r="F243" s="72">
        <v>100</v>
      </c>
      <c r="G243" s="60">
        <v>1798</v>
      </c>
      <c r="H243" s="70">
        <f t="shared" si="200"/>
        <v>484</v>
      </c>
      <c r="I243" s="60"/>
      <c r="J243" s="70"/>
      <c r="K243" s="60">
        <v>20320.9</v>
      </c>
      <c r="L243" s="70">
        <f>K243-K242</f>
        <v>1389.9000000000015</v>
      </c>
      <c r="M243" s="60"/>
      <c r="N243" s="70"/>
      <c r="O243" s="60">
        <v>210350</v>
      </c>
      <c r="P243" s="70">
        <f t="shared" si="184"/>
        <v>2960</v>
      </c>
      <c r="Q243" s="60">
        <v>249530</v>
      </c>
      <c r="R243" s="70">
        <f>Q243-Q242</f>
        <v>5900</v>
      </c>
      <c r="S243" s="60">
        <v>261100</v>
      </c>
      <c r="T243" s="70">
        <f>S243-S242</f>
        <v>8280</v>
      </c>
      <c r="U243" s="60">
        <v>28645</v>
      </c>
      <c r="V243" s="70">
        <f>U243-U242</f>
        <v>1411</v>
      </c>
      <c r="W243" s="60">
        <v>307150</v>
      </c>
      <c r="X243" s="70">
        <f>W243-W242</f>
        <v>4570</v>
      </c>
      <c r="Y243" s="60">
        <v>165380</v>
      </c>
      <c r="Z243" s="70">
        <f>Y243-Y242</f>
        <v>1990</v>
      </c>
      <c r="AA243" s="60">
        <v>425140</v>
      </c>
      <c r="AB243" s="70">
        <f>AA243-AA242</f>
        <v>6170</v>
      </c>
      <c r="AC243" s="81">
        <f t="shared" si="192"/>
        <v>297470.83957219264</v>
      </c>
      <c r="AD243" s="370">
        <v>0.035500000000000004</v>
      </c>
      <c r="AE243" s="136">
        <f t="shared" si="198"/>
        <v>10560.21480481284</v>
      </c>
      <c r="AF243" s="369">
        <f>SUM(AE241:AE243)</f>
        <v>41855.17917099096</v>
      </c>
      <c r="AG243" s="195"/>
      <c r="AH243" s="147">
        <f t="shared" si="195"/>
        <v>266189.83957219264</v>
      </c>
      <c r="AI243" s="186">
        <f t="shared" si="193"/>
        <v>9449.73930481284</v>
      </c>
      <c r="AJ243" s="187">
        <f t="shared" si="196"/>
        <v>31281</v>
      </c>
      <c r="AK243" s="186">
        <f t="shared" si="194"/>
        <v>1110.4755</v>
      </c>
    </row>
    <row r="244" spans="1:37" s="54" customFormat="1" ht="12.75">
      <c r="A244" s="127">
        <v>38169</v>
      </c>
      <c r="B244" s="116">
        <v>38195</v>
      </c>
      <c r="C244" s="250">
        <v>2442.5</v>
      </c>
      <c r="D244" s="264">
        <f aca="true" t="shared" si="201" ref="D244:D258">C244-C243</f>
        <v>27.300000000000182</v>
      </c>
      <c r="E244" s="250" t="s">
        <v>68</v>
      </c>
      <c r="F244" s="57">
        <v>100</v>
      </c>
      <c r="G244" s="58">
        <v>2378.2</v>
      </c>
      <c r="H244" s="63">
        <f t="shared" si="200"/>
        <v>580.1999999999998</v>
      </c>
      <c r="I244" s="58"/>
      <c r="J244" s="63"/>
      <c r="K244" s="58">
        <v>22116</v>
      </c>
      <c r="L244" s="63">
        <f t="shared" si="199"/>
        <v>1795.0999999999985</v>
      </c>
      <c r="M244" s="58"/>
      <c r="N244" s="63"/>
      <c r="O244" s="58">
        <v>213400</v>
      </c>
      <c r="P244" s="63">
        <f t="shared" si="184"/>
        <v>3050</v>
      </c>
      <c r="Q244" s="58">
        <v>261540</v>
      </c>
      <c r="R244" s="59">
        <v>12010</v>
      </c>
      <c r="S244" s="58">
        <v>272640</v>
      </c>
      <c r="T244" s="59">
        <v>11540</v>
      </c>
      <c r="U244" s="58">
        <v>32850</v>
      </c>
      <c r="V244" s="59">
        <v>4205</v>
      </c>
      <c r="W244" s="58">
        <v>310940</v>
      </c>
      <c r="X244" s="59">
        <v>3790</v>
      </c>
      <c r="Y244" s="58">
        <v>167230</v>
      </c>
      <c r="Z244" s="59">
        <v>1850</v>
      </c>
      <c r="AA244" s="58">
        <v>431290</v>
      </c>
      <c r="AB244" s="59">
        <v>6150</v>
      </c>
      <c r="AC244" s="106">
        <f t="shared" si="192"/>
        <v>377167.1925133688</v>
      </c>
      <c r="AD244" s="158">
        <f>Rates!$E$31</f>
        <v>0.0635</v>
      </c>
      <c r="AE244" s="142">
        <v>11877.312834224593</v>
      </c>
      <c r="AF244" s="373"/>
      <c r="AG244" s="115"/>
      <c r="AH244" s="147">
        <f t="shared" si="195"/>
        <v>334572.1925133688</v>
      </c>
      <c r="AI244" s="186">
        <f t="shared" si="193"/>
        <v>21245.33422459892</v>
      </c>
      <c r="AJ244" s="187">
        <f t="shared" si="196"/>
        <v>42595</v>
      </c>
      <c r="AK244" s="186">
        <f t="shared" si="194"/>
        <v>2704.7825000000003</v>
      </c>
    </row>
    <row r="245" spans="1:37" s="54" customFormat="1" ht="12.75">
      <c r="A245" s="127">
        <v>38200</v>
      </c>
      <c r="B245" s="116">
        <v>38229</v>
      </c>
      <c r="C245" s="250">
        <v>2491.7</v>
      </c>
      <c r="D245" s="320">
        <f t="shared" si="201"/>
        <v>49.19999999999982</v>
      </c>
      <c r="E245" s="250" t="s">
        <v>68</v>
      </c>
      <c r="F245" s="57">
        <v>100</v>
      </c>
      <c r="G245" s="58">
        <v>3012</v>
      </c>
      <c r="H245" s="83">
        <f t="shared" si="200"/>
        <v>633.8000000000002</v>
      </c>
      <c r="I245" s="58"/>
      <c r="J245" s="59"/>
      <c r="K245" s="58">
        <v>23846</v>
      </c>
      <c r="L245" s="59">
        <f t="shared" si="199"/>
        <v>1730</v>
      </c>
      <c r="M245" s="58"/>
      <c r="N245" s="59"/>
      <c r="O245" s="58">
        <v>217340</v>
      </c>
      <c r="P245" s="59">
        <f t="shared" si="184"/>
        <v>3940</v>
      </c>
      <c r="Q245" s="58">
        <v>273180</v>
      </c>
      <c r="R245" s="59">
        <f>IF(Q245="",0,(Q245-Q244))</f>
        <v>11640</v>
      </c>
      <c r="S245" s="58">
        <v>282270</v>
      </c>
      <c r="T245" s="59">
        <f>IF(S245="",0,(S245-S244))</f>
        <v>9630</v>
      </c>
      <c r="U245" s="58">
        <v>40179</v>
      </c>
      <c r="V245" s="59">
        <f>IF(U245="",0,(U245-U244))</f>
        <v>7329</v>
      </c>
      <c r="W245" s="58">
        <v>316000</v>
      </c>
      <c r="X245" s="59">
        <f>IF(W245="",0,(W245-W244))</f>
        <v>5060</v>
      </c>
      <c r="Y245" s="58">
        <v>172380</v>
      </c>
      <c r="Z245" s="59">
        <f>IF(Y245="",0,(Y245-Y244))</f>
        <v>5150</v>
      </c>
      <c r="AA245" s="58">
        <v>438070</v>
      </c>
      <c r="AB245" s="59">
        <f>IF(AA245="",0,(AA245-AA244))</f>
        <v>6780</v>
      </c>
      <c r="AC245" s="106">
        <f t="shared" si="192"/>
        <v>385491.56684491975</v>
      </c>
      <c r="AD245" s="158">
        <f>Rates!$E$31</f>
        <v>0.0635</v>
      </c>
      <c r="AE245" s="157">
        <f>AC245*AD245</f>
        <v>24478.714494652406</v>
      </c>
      <c r="AF245" s="138"/>
      <c r="AG245" s="115"/>
      <c r="AH245" s="147">
        <f t="shared" si="195"/>
        <v>335962.56684491975</v>
      </c>
      <c r="AI245" s="186">
        <f t="shared" si="193"/>
        <v>21333.622994652404</v>
      </c>
      <c r="AJ245" s="187">
        <f t="shared" si="196"/>
        <v>49529</v>
      </c>
      <c r="AK245" s="186">
        <f t="shared" si="194"/>
        <v>3145.0915</v>
      </c>
    </row>
    <row r="246" spans="1:37" s="54" customFormat="1" ht="13.5" thickBot="1">
      <c r="A246" s="127">
        <v>38231</v>
      </c>
      <c r="B246" s="116">
        <v>38257</v>
      </c>
      <c r="C246" s="191">
        <v>2697</v>
      </c>
      <c r="D246" s="194">
        <f t="shared" si="201"/>
        <v>205.30000000000018</v>
      </c>
      <c r="E246" s="191" t="s">
        <v>68</v>
      </c>
      <c r="F246" s="61">
        <v>100</v>
      </c>
      <c r="G246" s="60">
        <v>4105</v>
      </c>
      <c r="H246" s="70">
        <f t="shared" si="200"/>
        <v>1093</v>
      </c>
      <c r="I246" s="60"/>
      <c r="J246" s="70"/>
      <c r="K246" s="60">
        <v>25989.6</v>
      </c>
      <c r="L246" s="70">
        <f t="shared" si="199"/>
        <v>2143.5999999999985</v>
      </c>
      <c r="M246" s="60"/>
      <c r="N246" s="70"/>
      <c r="O246" s="58">
        <v>225490</v>
      </c>
      <c r="P246" s="70">
        <f t="shared" si="184"/>
        <v>8150</v>
      </c>
      <c r="Q246" s="58">
        <v>290630</v>
      </c>
      <c r="R246" s="59">
        <f>IF(Q246="",0,(Q246-Q245))</f>
        <v>17450</v>
      </c>
      <c r="S246" s="58">
        <v>305890</v>
      </c>
      <c r="T246" s="59">
        <f>IF(S246="",0,(S246-S245))</f>
        <v>23620</v>
      </c>
      <c r="U246" s="58">
        <v>46357</v>
      </c>
      <c r="V246" s="59">
        <f>IF(U246="",0,(U246-U245))</f>
        <v>6178</v>
      </c>
      <c r="W246" s="58">
        <v>336570</v>
      </c>
      <c r="X246" s="59">
        <f>IF(W246="",0,(W246-W245))</f>
        <v>20570</v>
      </c>
      <c r="Y246" s="58">
        <v>180390</v>
      </c>
      <c r="Z246" s="59">
        <f>IF(Y246="",0,(Y246-Y245))</f>
        <v>8010</v>
      </c>
      <c r="AA246" s="58">
        <v>458980</v>
      </c>
      <c r="AB246" s="59">
        <f>IF(AA246="",0,(AA246-AA245))</f>
        <v>20910</v>
      </c>
      <c r="AC246" s="81">
        <f t="shared" si="192"/>
        <v>578404.0427807485</v>
      </c>
      <c r="AD246" s="158">
        <f>Rates!$E$31</f>
        <v>0.0635</v>
      </c>
      <c r="AE246" s="136">
        <f>AC246*AD246</f>
        <v>36728.65671657753</v>
      </c>
      <c r="AF246" s="137">
        <f>SUM(AE244:AE246)</f>
        <v>73084.68404545452</v>
      </c>
      <c r="AG246" s="195"/>
      <c r="AH246" s="147">
        <f t="shared" si="195"/>
        <v>473516.04278074845</v>
      </c>
      <c r="AI246" s="186">
        <f t="shared" si="193"/>
        <v>30068.268716577528</v>
      </c>
      <c r="AJ246" s="187">
        <f t="shared" si="196"/>
        <v>104888</v>
      </c>
      <c r="AK246" s="186">
        <f t="shared" si="194"/>
        <v>6660.388</v>
      </c>
    </row>
    <row r="247" spans="1:37" s="54" customFormat="1" ht="12.75">
      <c r="A247" s="127">
        <v>38261</v>
      </c>
      <c r="B247" s="116">
        <v>38288</v>
      </c>
      <c r="C247" s="250">
        <v>2960.3</v>
      </c>
      <c r="D247" s="264">
        <f t="shared" si="201"/>
        <v>263.3000000000002</v>
      </c>
      <c r="E247" s="263" t="s">
        <v>68</v>
      </c>
      <c r="F247" s="65">
        <v>150</v>
      </c>
      <c r="G247" s="66">
        <v>5331.6</v>
      </c>
      <c r="H247" s="63">
        <f t="shared" si="200"/>
        <v>1226.6000000000004</v>
      </c>
      <c r="I247" s="66"/>
      <c r="J247" s="63"/>
      <c r="K247" s="66">
        <v>28421.3</v>
      </c>
      <c r="L247" s="63">
        <f t="shared" si="199"/>
        <v>2431.7000000000007</v>
      </c>
      <c r="M247" s="66"/>
      <c r="N247" s="63"/>
      <c r="O247" s="66">
        <v>234420</v>
      </c>
      <c r="P247" s="63">
        <f t="shared" si="184"/>
        <v>8930</v>
      </c>
      <c r="Q247" s="64">
        <v>307710</v>
      </c>
      <c r="R247" s="63">
        <f aca="true" t="shared" si="202" ref="R247:R264">Q247-Q246</f>
        <v>17080</v>
      </c>
      <c r="S247" s="66">
        <v>331730</v>
      </c>
      <c r="T247" s="63">
        <f aca="true" t="shared" si="203" ref="T247:T264">S247-S246</f>
        <v>25840</v>
      </c>
      <c r="U247" s="66">
        <v>51363</v>
      </c>
      <c r="V247" s="63">
        <f aca="true" t="shared" si="204" ref="V247:V264">U247-U246</f>
        <v>5006</v>
      </c>
      <c r="W247" s="66">
        <v>357360</v>
      </c>
      <c r="X247" s="63">
        <f aca="true" t="shared" si="205" ref="X247:X264">W247-W246</f>
        <v>20790</v>
      </c>
      <c r="Y247" s="66">
        <v>189940</v>
      </c>
      <c r="Z247" s="63">
        <f aca="true" t="shared" si="206" ref="Z247:Z264">Y247-Y246</f>
        <v>9550</v>
      </c>
      <c r="AA247" s="66">
        <v>483050</v>
      </c>
      <c r="AB247" s="63">
        <f aca="true" t="shared" si="207" ref="AB247:AB264">AA247-AA246</f>
        <v>24070</v>
      </c>
      <c r="AC247" s="106">
        <f t="shared" si="192"/>
        <v>655597.5508021392</v>
      </c>
      <c r="AD247" s="141">
        <f>Rates!$E$31</f>
        <v>0.0635</v>
      </c>
      <c r="AE247" s="142">
        <f>AC247*AD247</f>
        <v>41630.44447593584</v>
      </c>
      <c r="AF247" s="373"/>
      <c r="AG247" s="115"/>
      <c r="AH247" s="147">
        <f t="shared" si="195"/>
        <v>544331.5508021392</v>
      </c>
      <c r="AI247" s="186">
        <f t="shared" si="193"/>
        <v>34565.05347593584</v>
      </c>
      <c r="AJ247" s="187">
        <f t="shared" si="196"/>
        <v>111266</v>
      </c>
      <c r="AK247" s="186">
        <f t="shared" si="194"/>
        <v>7065.3910000000005</v>
      </c>
    </row>
    <row r="248" spans="1:37" s="54" customFormat="1" ht="12.75">
      <c r="A248" s="127">
        <v>38292</v>
      </c>
      <c r="B248" s="116">
        <v>38320</v>
      </c>
      <c r="C248" s="250">
        <v>3191.3</v>
      </c>
      <c r="D248" s="320">
        <f t="shared" si="201"/>
        <v>231</v>
      </c>
      <c r="E248" s="250" t="s">
        <v>68</v>
      </c>
      <c r="F248" s="57">
        <v>150</v>
      </c>
      <c r="G248" s="58">
        <v>6382.8</v>
      </c>
      <c r="H248" s="83">
        <f t="shared" si="200"/>
        <v>1051.1999999999998</v>
      </c>
      <c r="I248" s="58"/>
      <c r="J248" s="59"/>
      <c r="K248" s="58">
        <v>30770.2</v>
      </c>
      <c r="L248" s="59">
        <f t="shared" si="199"/>
        <v>2348.9000000000015</v>
      </c>
      <c r="M248" s="58"/>
      <c r="N248" s="59"/>
      <c r="O248" s="68">
        <f>(O249-O247)/2+O247</f>
        <v>242190</v>
      </c>
      <c r="P248" s="59">
        <f t="shared" si="184"/>
        <v>7770</v>
      </c>
      <c r="Q248" s="68">
        <f>(Q249-Q247)/2+Q247</f>
        <v>314825</v>
      </c>
      <c r="R248" s="59">
        <f t="shared" si="202"/>
        <v>7115</v>
      </c>
      <c r="S248" s="68">
        <f>(S249-S247)/2+S247</f>
        <v>356010</v>
      </c>
      <c r="T248" s="59">
        <f t="shared" si="203"/>
        <v>24280</v>
      </c>
      <c r="U248" s="68">
        <f>(U249-U247)/2+U247</f>
        <v>51471.5</v>
      </c>
      <c r="V248" s="59">
        <f t="shared" si="204"/>
        <v>108.5</v>
      </c>
      <c r="W248" s="68">
        <f>(W249-W247)/2+W247</f>
        <v>376025</v>
      </c>
      <c r="X248" s="59">
        <f t="shared" si="205"/>
        <v>18665</v>
      </c>
      <c r="Y248" s="68">
        <f>(Y249-Y247)/2+Y247</f>
        <v>198295</v>
      </c>
      <c r="Z248" s="59">
        <f t="shared" si="206"/>
        <v>8355</v>
      </c>
      <c r="AA248" s="68">
        <f>(AA249-AA247)/2+AA247</f>
        <v>503575</v>
      </c>
      <c r="AB248" s="59">
        <f t="shared" si="207"/>
        <v>20525</v>
      </c>
      <c r="AC248" s="106">
        <f t="shared" si="192"/>
        <v>592313.1524064173</v>
      </c>
      <c r="AD248" s="158">
        <f>Rates!$E$31</f>
        <v>0.0635</v>
      </c>
      <c r="AE248" s="157">
        <f>AC248*AD248</f>
        <v>37611.8851778075</v>
      </c>
      <c r="AF248" s="138"/>
      <c r="AG248" s="115"/>
      <c r="AH248" s="147">
        <f t="shared" si="195"/>
        <v>505494.6524064173</v>
      </c>
      <c r="AI248" s="186">
        <f t="shared" si="193"/>
        <v>32098.9104278075</v>
      </c>
      <c r="AJ248" s="187">
        <f t="shared" si="196"/>
        <v>86818.5</v>
      </c>
      <c r="AK248" s="186">
        <f t="shared" si="194"/>
        <v>5512.97475</v>
      </c>
    </row>
    <row r="249" spans="1:37" s="115" customFormat="1" ht="13.5" thickBot="1">
      <c r="A249" s="127">
        <v>38322</v>
      </c>
      <c r="B249" s="116">
        <v>38355</v>
      </c>
      <c r="C249" s="191">
        <v>3331.1</v>
      </c>
      <c r="D249" s="194">
        <f t="shared" si="201"/>
        <v>139.79999999999973</v>
      </c>
      <c r="E249" s="191" t="s">
        <v>68</v>
      </c>
      <c r="F249" s="61">
        <v>100</v>
      </c>
      <c r="G249" s="58">
        <v>6971.6</v>
      </c>
      <c r="H249" s="70">
        <f t="shared" si="200"/>
        <v>588.8000000000002</v>
      </c>
      <c r="I249" s="58"/>
      <c r="J249" s="59"/>
      <c r="K249" s="58">
        <v>32850.8</v>
      </c>
      <c r="L249" s="59">
        <f t="shared" si="199"/>
        <v>2080.600000000002</v>
      </c>
      <c r="M249" s="58"/>
      <c r="N249" s="59"/>
      <c r="O249" s="60">
        <v>249960</v>
      </c>
      <c r="P249" s="70">
        <f t="shared" si="184"/>
        <v>7770</v>
      </c>
      <c r="Q249" s="60">
        <v>321940</v>
      </c>
      <c r="R249" s="70">
        <f t="shared" si="202"/>
        <v>7115</v>
      </c>
      <c r="S249" s="60">
        <v>380290</v>
      </c>
      <c r="T249" s="70">
        <f t="shared" si="203"/>
        <v>24280</v>
      </c>
      <c r="U249" s="60">
        <v>51580</v>
      </c>
      <c r="V249" s="70">
        <f t="shared" si="204"/>
        <v>108.5</v>
      </c>
      <c r="W249" s="60">
        <v>394690</v>
      </c>
      <c r="X249" s="70">
        <f t="shared" si="205"/>
        <v>18665</v>
      </c>
      <c r="Y249" s="60">
        <v>206650</v>
      </c>
      <c r="Z249" s="70">
        <f t="shared" si="206"/>
        <v>8355</v>
      </c>
      <c r="AA249" s="60">
        <v>524100</v>
      </c>
      <c r="AB249" s="70">
        <f t="shared" si="207"/>
        <v>20525</v>
      </c>
      <c r="AC249" s="81">
        <f t="shared" si="192"/>
        <v>475748.9812834227</v>
      </c>
      <c r="AD249" s="139">
        <f>Rates!$E$31</f>
        <v>0.0635</v>
      </c>
      <c r="AE249" s="136">
        <f>AC249*AD249</f>
        <v>30210.060311497342</v>
      </c>
      <c r="AF249" s="137">
        <f aca="true" t="shared" si="208" ref="AF249:AF255">SUM(AE247:AE249)</f>
        <v>109452.38996524067</v>
      </c>
      <c r="AG249" s="195"/>
      <c r="AH249" s="147">
        <f t="shared" si="195"/>
        <v>388930.4812834227</v>
      </c>
      <c r="AI249" s="186">
        <f t="shared" si="193"/>
        <v>24697.08556149734</v>
      </c>
      <c r="AJ249" s="187">
        <f t="shared" si="196"/>
        <v>86818.5</v>
      </c>
      <c r="AK249" s="186">
        <f t="shared" si="194"/>
        <v>5512.97475</v>
      </c>
    </row>
    <row r="250" spans="1:37" s="115" customFormat="1" ht="12.75">
      <c r="A250" s="127">
        <v>38353</v>
      </c>
      <c r="B250" s="114">
        <v>38384</v>
      </c>
      <c r="C250" s="250">
        <v>3550</v>
      </c>
      <c r="D250" s="264">
        <f t="shared" si="201"/>
        <v>218.9000000000001</v>
      </c>
      <c r="E250" s="263" t="s">
        <v>68</v>
      </c>
      <c r="F250" s="65">
        <v>150</v>
      </c>
      <c r="G250" s="66">
        <v>7550</v>
      </c>
      <c r="H250" s="63">
        <f t="shared" si="200"/>
        <v>578.3999999999996</v>
      </c>
      <c r="I250" s="66"/>
      <c r="J250" s="63"/>
      <c r="K250" s="66">
        <v>34793.6</v>
      </c>
      <c r="L250" s="63">
        <f t="shared" si="199"/>
        <v>1942.7999999999956</v>
      </c>
      <c r="M250" s="66"/>
      <c r="N250" s="63"/>
      <c r="O250" s="66">
        <v>257100</v>
      </c>
      <c r="P250" s="63">
        <f t="shared" si="184"/>
        <v>7140</v>
      </c>
      <c r="Q250" s="66">
        <v>330000</v>
      </c>
      <c r="R250" s="63">
        <f t="shared" si="202"/>
        <v>8060</v>
      </c>
      <c r="S250" s="66">
        <v>406620</v>
      </c>
      <c r="T250" s="63">
        <f t="shared" si="203"/>
        <v>26330</v>
      </c>
      <c r="U250" s="66">
        <v>51691</v>
      </c>
      <c r="V250" s="63">
        <f t="shared" si="204"/>
        <v>111</v>
      </c>
      <c r="W250" s="66">
        <v>411960</v>
      </c>
      <c r="X250" s="63">
        <f t="shared" si="205"/>
        <v>17270</v>
      </c>
      <c r="Y250" s="66">
        <v>215030</v>
      </c>
      <c r="Z250" s="63">
        <f t="shared" si="206"/>
        <v>8380</v>
      </c>
      <c r="AA250" s="66">
        <v>545470</v>
      </c>
      <c r="AB250" s="63">
        <f t="shared" si="207"/>
        <v>21370</v>
      </c>
      <c r="AC250" s="106">
        <f t="shared" si="192"/>
        <v>475038.00534759293</v>
      </c>
      <c r="AD250" s="141">
        <f>Rates!$E$31</f>
        <v>0.0635</v>
      </c>
      <c r="AE250" s="142">
        <f aca="true" t="shared" si="209" ref="AE250:AE267">AC250*AD250</f>
        <v>30164.91333957215</v>
      </c>
      <c r="AF250" s="141"/>
      <c r="AH250" s="147">
        <f t="shared" si="195"/>
        <v>386377.00534759293</v>
      </c>
      <c r="AI250" s="186">
        <f t="shared" si="193"/>
        <v>24534.93983957215</v>
      </c>
      <c r="AJ250" s="187">
        <f t="shared" si="196"/>
        <v>88661</v>
      </c>
      <c r="AK250" s="186">
        <f t="shared" si="194"/>
        <v>5629.9735</v>
      </c>
    </row>
    <row r="251" spans="1:37" s="54" customFormat="1" ht="12.75">
      <c r="A251" s="127">
        <v>38384</v>
      </c>
      <c r="B251" s="122">
        <v>38411</v>
      </c>
      <c r="C251" s="250">
        <v>3745.89</v>
      </c>
      <c r="D251" s="320">
        <f t="shared" si="201"/>
        <v>195.88999999999987</v>
      </c>
      <c r="E251" s="250" t="s">
        <v>68</v>
      </c>
      <c r="F251" s="57">
        <v>150</v>
      </c>
      <c r="G251" s="58">
        <v>8219.89</v>
      </c>
      <c r="H251" s="83">
        <f t="shared" si="200"/>
        <v>669.8899999999994</v>
      </c>
      <c r="I251" s="58"/>
      <c r="J251" s="59"/>
      <c r="K251" s="58">
        <v>36888.1</v>
      </c>
      <c r="L251" s="59">
        <f t="shared" si="199"/>
        <v>2094.5</v>
      </c>
      <c r="M251" s="58"/>
      <c r="N251" s="59"/>
      <c r="O251" s="68">
        <f>O250+(O252-O250)/2</f>
        <v>263660</v>
      </c>
      <c r="P251" s="59">
        <f t="shared" si="184"/>
        <v>6560</v>
      </c>
      <c r="Q251" s="68">
        <f>Q250+(Q252-Q250)/2</f>
        <v>336710</v>
      </c>
      <c r="R251" s="59">
        <f t="shared" si="202"/>
        <v>6710</v>
      </c>
      <c r="S251" s="68">
        <f>S250+(S252-S250)/2</f>
        <v>427075</v>
      </c>
      <c r="T251" s="59">
        <f t="shared" si="203"/>
        <v>20455</v>
      </c>
      <c r="U251" s="68">
        <f>U250+(U252-U250)/2</f>
        <v>51784.5</v>
      </c>
      <c r="V251" s="59">
        <f t="shared" si="204"/>
        <v>93.5</v>
      </c>
      <c r="W251" s="68">
        <f>W250+(W252-W250)/2</f>
        <v>424285</v>
      </c>
      <c r="X251" s="59">
        <f t="shared" si="205"/>
        <v>12325</v>
      </c>
      <c r="Y251" s="68">
        <f>Y250+(Y252-Y250)/2</f>
        <v>221080</v>
      </c>
      <c r="Z251" s="59">
        <f t="shared" si="206"/>
        <v>6050</v>
      </c>
      <c r="AA251" s="68">
        <f>AA250+(AA252-AA250)/2</f>
        <v>561610</v>
      </c>
      <c r="AB251" s="59">
        <f t="shared" si="207"/>
        <v>16140</v>
      </c>
      <c r="AC251" s="106">
        <f t="shared" si="192"/>
        <v>484146.3342245988</v>
      </c>
      <c r="AD251" s="158">
        <f>Rates!$E$31</f>
        <v>0.0635</v>
      </c>
      <c r="AE251" s="157">
        <f t="shared" si="209"/>
        <v>30743.292223262022</v>
      </c>
      <c r="AF251" s="158"/>
      <c r="AG251" s="115"/>
      <c r="AH251" s="147">
        <f t="shared" si="195"/>
        <v>415812.8342245988</v>
      </c>
      <c r="AI251" s="186">
        <f t="shared" si="193"/>
        <v>26404.11497326202</v>
      </c>
      <c r="AJ251" s="187">
        <f t="shared" si="196"/>
        <v>68333.5</v>
      </c>
      <c r="AK251" s="186">
        <f t="shared" si="194"/>
        <v>4339.17725</v>
      </c>
    </row>
    <row r="252" spans="1:37" s="54" customFormat="1" ht="13.5" thickBot="1">
      <c r="A252" s="127">
        <v>38412</v>
      </c>
      <c r="B252" s="122">
        <v>38433</v>
      </c>
      <c r="C252" s="191">
        <v>3877.59</v>
      </c>
      <c r="D252" s="194">
        <f t="shared" si="201"/>
        <v>131.70000000000027</v>
      </c>
      <c r="E252" s="191" t="s">
        <v>68</v>
      </c>
      <c r="F252" s="61">
        <v>150</v>
      </c>
      <c r="G252" s="58">
        <v>8534.2</v>
      </c>
      <c r="H252" s="70">
        <f t="shared" si="200"/>
        <v>314.3100000000013</v>
      </c>
      <c r="I252" s="60"/>
      <c r="J252" s="59"/>
      <c r="K252" s="60">
        <v>38304</v>
      </c>
      <c r="L252" s="59">
        <f t="shared" si="199"/>
        <v>1415.9000000000015</v>
      </c>
      <c r="M252" s="60"/>
      <c r="N252" s="59"/>
      <c r="O252" s="71">
        <v>270220</v>
      </c>
      <c r="P252" s="70">
        <f t="shared" si="184"/>
        <v>6560</v>
      </c>
      <c r="Q252" s="71">
        <v>343420</v>
      </c>
      <c r="R252" s="70">
        <f t="shared" si="202"/>
        <v>6710</v>
      </c>
      <c r="S252" s="71">
        <v>447530</v>
      </c>
      <c r="T252" s="70">
        <f t="shared" si="203"/>
        <v>20455</v>
      </c>
      <c r="U252" s="71">
        <v>51878</v>
      </c>
      <c r="V252" s="70">
        <f t="shared" si="204"/>
        <v>93.5</v>
      </c>
      <c r="W252" s="71">
        <v>436610</v>
      </c>
      <c r="X252" s="70">
        <f t="shared" si="205"/>
        <v>12325</v>
      </c>
      <c r="Y252" s="71">
        <v>227130</v>
      </c>
      <c r="Z252" s="70">
        <f t="shared" si="206"/>
        <v>6050</v>
      </c>
      <c r="AA252" s="71">
        <v>577750</v>
      </c>
      <c r="AB252" s="70">
        <f t="shared" si="207"/>
        <v>16140</v>
      </c>
      <c r="AC252" s="81">
        <f t="shared" si="192"/>
        <v>337305.42513369024</v>
      </c>
      <c r="AD252" s="139">
        <f>Rates!$E$31</f>
        <v>0.0635</v>
      </c>
      <c r="AE252" s="136">
        <f t="shared" si="209"/>
        <v>21418.89449598933</v>
      </c>
      <c r="AF252" s="137">
        <f t="shared" si="208"/>
        <v>82327.1000588235</v>
      </c>
      <c r="AG252" s="195"/>
      <c r="AH252" s="147">
        <f t="shared" si="195"/>
        <v>268971.92513369024</v>
      </c>
      <c r="AI252" s="186">
        <f t="shared" si="193"/>
        <v>17079.71724598933</v>
      </c>
      <c r="AJ252" s="187">
        <f t="shared" si="196"/>
        <v>68333.5</v>
      </c>
      <c r="AK252" s="186">
        <f t="shared" si="194"/>
        <v>4339.17725</v>
      </c>
    </row>
    <row r="253" spans="1:37" s="54" customFormat="1" ht="12.75">
      <c r="A253" s="127">
        <v>38443</v>
      </c>
      <c r="B253" s="116">
        <v>38468</v>
      </c>
      <c r="C253" s="263">
        <v>4122.3</v>
      </c>
      <c r="D253" s="264">
        <f t="shared" si="201"/>
        <v>244.71000000000004</v>
      </c>
      <c r="E253" s="263" t="s">
        <v>68</v>
      </c>
      <c r="F253" s="65">
        <v>100</v>
      </c>
      <c r="G253" s="66">
        <v>9363.97</v>
      </c>
      <c r="H253" s="63">
        <f t="shared" si="200"/>
        <v>829.7699999999986</v>
      </c>
      <c r="I253" s="66"/>
      <c r="J253" s="63"/>
      <c r="K253" s="66">
        <v>40950.4</v>
      </c>
      <c r="L253" s="63">
        <f t="shared" si="199"/>
        <v>2646.4000000000015</v>
      </c>
      <c r="M253" s="66"/>
      <c r="N253" s="63"/>
      <c r="O253" s="58">
        <v>279070</v>
      </c>
      <c r="P253" s="63">
        <f t="shared" si="184"/>
        <v>8850</v>
      </c>
      <c r="Q253" s="58">
        <v>358670</v>
      </c>
      <c r="R253" s="63">
        <f t="shared" si="202"/>
        <v>15250</v>
      </c>
      <c r="S253" s="58">
        <v>474020</v>
      </c>
      <c r="T253" s="63">
        <f t="shared" si="203"/>
        <v>26490</v>
      </c>
      <c r="U253" s="58">
        <v>55072</v>
      </c>
      <c r="V253" s="63">
        <f t="shared" si="204"/>
        <v>3194</v>
      </c>
      <c r="W253" s="58">
        <v>453960</v>
      </c>
      <c r="X253" s="63">
        <f t="shared" si="205"/>
        <v>17350</v>
      </c>
      <c r="Y253" s="58">
        <v>235170</v>
      </c>
      <c r="Z253" s="63">
        <f t="shared" si="206"/>
        <v>8040</v>
      </c>
      <c r="AA253" s="58">
        <v>600500</v>
      </c>
      <c r="AB253" s="63">
        <f t="shared" si="207"/>
        <v>22750</v>
      </c>
      <c r="AC253" s="106">
        <f t="shared" si="192"/>
        <v>612736.834224599</v>
      </c>
      <c r="AD253" s="141">
        <f>Rates!$E$31</f>
        <v>0.0635</v>
      </c>
      <c r="AE253" s="142">
        <f t="shared" si="209"/>
        <v>38908.78897326203</v>
      </c>
      <c r="AF253" s="132"/>
      <c r="AG253" s="115"/>
      <c r="AH253" s="147">
        <f t="shared" si="195"/>
        <v>510812.8342245989</v>
      </c>
      <c r="AI253" s="186">
        <f t="shared" si="193"/>
        <v>32436.61497326203</v>
      </c>
      <c r="AJ253" s="187">
        <f t="shared" si="196"/>
        <v>101924</v>
      </c>
      <c r="AK253" s="186">
        <f t="shared" si="194"/>
        <v>6472.174</v>
      </c>
    </row>
    <row r="254" spans="1:37" s="54" customFormat="1" ht="12.75">
      <c r="A254" s="127">
        <v>38473</v>
      </c>
      <c r="B254" s="116">
        <v>38498</v>
      </c>
      <c r="C254" s="250">
        <v>4151.3</v>
      </c>
      <c r="D254" s="320">
        <f t="shared" si="201"/>
        <v>29</v>
      </c>
      <c r="E254" s="250" t="s">
        <v>68</v>
      </c>
      <c r="F254" s="74">
        <v>100</v>
      </c>
      <c r="G254" s="58">
        <v>9751.5</v>
      </c>
      <c r="H254" s="83">
        <f t="shared" si="200"/>
        <v>387.53000000000065</v>
      </c>
      <c r="I254" s="58"/>
      <c r="J254" s="59"/>
      <c r="K254" s="58">
        <v>42423.5</v>
      </c>
      <c r="L254" s="59">
        <f t="shared" si="199"/>
        <v>1473.0999999999985</v>
      </c>
      <c r="M254" s="58"/>
      <c r="N254" s="59"/>
      <c r="O254" s="58">
        <v>284060</v>
      </c>
      <c r="P254" s="59">
        <f t="shared" si="184"/>
        <v>4990</v>
      </c>
      <c r="Q254" s="58">
        <v>368720</v>
      </c>
      <c r="R254" s="59">
        <f t="shared" si="202"/>
        <v>10050</v>
      </c>
      <c r="S254" s="58">
        <v>493120</v>
      </c>
      <c r="T254" s="59">
        <f t="shared" si="203"/>
        <v>19100</v>
      </c>
      <c r="U254" s="58">
        <v>59585</v>
      </c>
      <c r="V254" s="59">
        <f t="shared" si="204"/>
        <v>4513</v>
      </c>
      <c r="W254" s="58">
        <v>471470</v>
      </c>
      <c r="X254" s="59">
        <f t="shared" si="205"/>
        <v>17510</v>
      </c>
      <c r="Y254" s="58">
        <v>236900</v>
      </c>
      <c r="Z254" s="59">
        <f t="shared" si="206"/>
        <v>1730</v>
      </c>
      <c r="AA254" s="58">
        <v>609890</v>
      </c>
      <c r="AB254" s="59">
        <f t="shared" si="207"/>
        <v>9390</v>
      </c>
      <c r="AC254" s="106">
        <f t="shared" si="192"/>
        <v>333276.3155080213</v>
      </c>
      <c r="AD254" s="158">
        <f>Rates!$E$31</f>
        <v>0.0635</v>
      </c>
      <c r="AE254" s="157">
        <f t="shared" si="209"/>
        <v>21163.04603475935</v>
      </c>
      <c r="AF254" s="133"/>
      <c r="AG254" s="115"/>
      <c r="AH254" s="147">
        <f t="shared" si="195"/>
        <v>265993.3155080213</v>
      </c>
      <c r="AI254" s="186">
        <f t="shared" si="193"/>
        <v>16890.57553475935</v>
      </c>
      <c r="AJ254" s="187">
        <f t="shared" si="196"/>
        <v>67283</v>
      </c>
      <c r="AK254" s="186">
        <f t="shared" si="194"/>
        <v>4272.4705</v>
      </c>
    </row>
    <row r="255" spans="1:37" s="115" customFormat="1" ht="13.5" thickBot="1">
      <c r="A255" s="127">
        <v>38504</v>
      </c>
      <c r="B255" s="116">
        <v>38530</v>
      </c>
      <c r="C255" s="191">
        <v>4163</v>
      </c>
      <c r="D255" s="194">
        <f t="shared" si="201"/>
        <v>11.699999999999818</v>
      </c>
      <c r="E255" s="191" t="s">
        <v>68</v>
      </c>
      <c r="F255" s="72">
        <v>100</v>
      </c>
      <c r="G255" s="60">
        <v>10207.5</v>
      </c>
      <c r="H255" s="70">
        <f t="shared" si="200"/>
        <v>456</v>
      </c>
      <c r="I255" s="60"/>
      <c r="J255" s="59"/>
      <c r="K255" s="60">
        <v>43968.8</v>
      </c>
      <c r="L255" s="59">
        <f t="shared" si="199"/>
        <v>1545.300000000003</v>
      </c>
      <c r="M255" s="60"/>
      <c r="N255" s="59"/>
      <c r="O255" s="60">
        <v>290350</v>
      </c>
      <c r="P255" s="70">
        <f t="shared" si="184"/>
        <v>6290</v>
      </c>
      <c r="Q255" s="60">
        <v>381510</v>
      </c>
      <c r="R255" s="70">
        <f t="shared" si="202"/>
        <v>12790</v>
      </c>
      <c r="S255" s="60">
        <v>518460</v>
      </c>
      <c r="T255" s="70">
        <f t="shared" si="203"/>
        <v>25340</v>
      </c>
      <c r="U255" s="60">
        <v>66016</v>
      </c>
      <c r="V255" s="70">
        <f t="shared" si="204"/>
        <v>6431</v>
      </c>
      <c r="W255" s="60">
        <v>481710</v>
      </c>
      <c r="X255" s="70">
        <f t="shared" si="205"/>
        <v>10240</v>
      </c>
      <c r="Y255" s="60">
        <v>237240</v>
      </c>
      <c r="Z255" s="70">
        <f t="shared" si="206"/>
        <v>340</v>
      </c>
      <c r="AA255" s="60">
        <v>611060</v>
      </c>
      <c r="AB255" s="70">
        <f t="shared" si="207"/>
        <v>1170</v>
      </c>
      <c r="AC255" s="81">
        <f t="shared" si="192"/>
        <v>345087.63101604313</v>
      </c>
      <c r="AD255" s="139">
        <f>Rates!$E$31</f>
        <v>0.0635</v>
      </c>
      <c r="AE255" s="136">
        <f t="shared" si="209"/>
        <v>21913.064569518738</v>
      </c>
      <c r="AF255" s="137">
        <f t="shared" si="208"/>
        <v>81984.89957754013</v>
      </c>
      <c r="AG255" s="195"/>
      <c r="AH255" s="147">
        <f t="shared" si="195"/>
        <v>282486.63101604313</v>
      </c>
      <c r="AI255" s="186">
        <f t="shared" si="193"/>
        <v>17937.90106951874</v>
      </c>
      <c r="AJ255" s="187">
        <f t="shared" si="196"/>
        <v>62601</v>
      </c>
      <c r="AK255" s="186">
        <f t="shared" si="194"/>
        <v>3975.1635</v>
      </c>
    </row>
    <row r="256" spans="1:37" s="54" customFormat="1" ht="12.75">
      <c r="A256" s="127">
        <v>38534</v>
      </c>
      <c r="B256" s="116">
        <v>38561</v>
      </c>
      <c r="C256" s="250">
        <v>4198.2</v>
      </c>
      <c r="D256" s="264">
        <f t="shared" si="201"/>
        <v>35.19999999999982</v>
      </c>
      <c r="E256" s="250" t="s">
        <v>68</v>
      </c>
      <c r="F256" s="57">
        <v>100</v>
      </c>
      <c r="G256" s="58">
        <v>10828.8</v>
      </c>
      <c r="H256" s="63">
        <f t="shared" si="200"/>
        <v>621.2999999999993</v>
      </c>
      <c r="I256" s="58"/>
      <c r="J256" s="63"/>
      <c r="K256" s="58">
        <v>45531</v>
      </c>
      <c r="L256" s="63">
        <f t="shared" si="199"/>
        <v>1562.199999999997</v>
      </c>
      <c r="M256" s="58"/>
      <c r="N256" s="63"/>
      <c r="O256" s="58">
        <v>318220</v>
      </c>
      <c r="P256" s="63">
        <f t="shared" si="184"/>
        <v>27870</v>
      </c>
      <c r="Q256" s="58">
        <v>397970</v>
      </c>
      <c r="R256" s="63">
        <f t="shared" si="202"/>
        <v>16460</v>
      </c>
      <c r="S256" s="58">
        <v>542990</v>
      </c>
      <c r="T256" s="63">
        <f t="shared" si="203"/>
        <v>24530</v>
      </c>
      <c r="U256" s="58">
        <v>76030</v>
      </c>
      <c r="V256" s="63">
        <f t="shared" si="204"/>
        <v>10014</v>
      </c>
      <c r="W256" s="58">
        <v>492560</v>
      </c>
      <c r="X256" s="63">
        <f t="shared" si="205"/>
        <v>10850</v>
      </c>
      <c r="Y256" s="58">
        <v>237690</v>
      </c>
      <c r="Z256" s="63">
        <f t="shared" si="206"/>
        <v>450</v>
      </c>
      <c r="AA256" s="58">
        <v>611720</v>
      </c>
      <c r="AB256" s="63">
        <f t="shared" si="207"/>
        <v>660</v>
      </c>
      <c r="AC256" s="140">
        <f t="shared" si="192"/>
        <v>400820.63101604226</v>
      </c>
      <c r="AD256" s="141">
        <v>0.035500000000000004</v>
      </c>
      <c r="AE256" s="142">
        <f t="shared" si="209"/>
        <v>14229.132401069503</v>
      </c>
      <c r="AF256" s="132"/>
      <c r="AH256" s="147">
        <f t="shared" si="195"/>
        <v>309986.63101604226</v>
      </c>
      <c r="AI256" s="186">
        <f t="shared" si="193"/>
        <v>11004.5254010695</v>
      </c>
      <c r="AJ256" s="187">
        <f t="shared" si="196"/>
        <v>90834</v>
      </c>
      <c r="AK256" s="186">
        <f t="shared" si="194"/>
        <v>3224.6070000000004</v>
      </c>
    </row>
    <row r="257" spans="1:37" s="54" customFormat="1" ht="12.75">
      <c r="A257" s="127">
        <v>38565</v>
      </c>
      <c r="B257" s="116">
        <v>38593</v>
      </c>
      <c r="C257" s="250">
        <v>4231.8</v>
      </c>
      <c r="D257" s="320">
        <f t="shared" si="201"/>
        <v>33.600000000000364</v>
      </c>
      <c r="E257" s="250" t="s">
        <v>68</v>
      </c>
      <c r="F257" s="57">
        <v>100</v>
      </c>
      <c r="G257" s="58">
        <v>11450.2</v>
      </c>
      <c r="H257" s="83">
        <f t="shared" si="200"/>
        <v>621.4000000000015</v>
      </c>
      <c r="I257" s="58"/>
      <c r="J257" s="59"/>
      <c r="K257" s="58">
        <v>47138</v>
      </c>
      <c r="L257" s="59">
        <f t="shared" si="199"/>
        <v>1607</v>
      </c>
      <c r="M257" s="58"/>
      <c r="N257" s="59"/>
      <c r="O257" s="58">
        <v>325360</v>
      </c>
      <c r="P257" s="59">
        <f t="shared" si="184"/>
        <v>7140</v>
      </c>
      <c r="Q257" s="58">
        <v>419860</v>
      </c>
      <c r="R257" s="59">
        <f t="shared" si="202"/>
        <v>21890</v>
      </c>
      <c r="S257" s="58">
        <v>559750</v>
      </c>
      <c r="T257" s="59">
        <f t="shared" si="203"/>
        <v>16760</v>
      </c>
      <c r="U257" s="58">
        <v>88926</v>
      </c>
      <c r="V257" s="59">
        <f t="shared" si="204"/>
        <v>12896</v>
      </c>
      <c r="W257" s="58">
        <v>499180</v>
      </c>
      <c r="X257" s="59">
        <f t="shared" si="205"/>
        <v>6620</v>
      </c>
      <c r="Y257" s="58">
        <v>238820</v>
      </c>
      <c r="Z257" s="59">
        <f t="shared" si="206"/>
        <v>1130</v>
      </c>
      <c r="AA257" s="58">
        <v>619200</v>
      </c>
      <c r="AB257" s="59">
        <f t="shared" si="207"/>
        <v>7480</v>
      </c>
      <c r="AC257" s="140">
        <f t="shared" si="192"/>
        <v>389691.40106951894</v>
      </c>
      <c r="AD257" s="158">
        <v>0.035500000000000004</v>
      </c>
      <c r="AE257" s="157">
        <f t="shared" si="209"/>
        <v>13834.044737967924</v>
      </c>
      <c r="AF257" s="133"/>
      <c r="AH257" s="147">
        <f t="shared" si="195"/>
        <v>315775.40106951894</v>
      </c>
      <c r="AI257" s="186">
        <f t="shared" si="193"/>
        <v>11210.026737967923</v>
      </c>
      <c r="AJ257" s="187">
        <f t="shared" si="196"/>
        <v>73916</v>
      </c>
      <c r="AK257" s="186">
        <f t="shared" si="194"/>
        <v>2624.0180000000005</v>
      </c>
    </row>
    <row r="258" spans="1:37" s="54" customFormat="1" ht="13.5" thickBot="1">
      <c r="A258" s="127">
        <v>38596</v>
      </c>
      <c r="B258" s="116">
        <v>38623</v>
      </c>
      <c r="C258" s="191">
        <v>4425.22</v>
      </c>
      <c r="D258" s="194">
        <f t="shared" si="201"/>
        <v>193.42000000000007</v>
      </c>
      <c r="E258" s="191" t="s">
        <v>68</v>
      </c>
      <c r="F258" s="61">
        <v>100</v>
      </c>
      <c r="G258" s="60">
        <v>12694.4</v>
      </c>
      <c r="H258" s="70">
        <f t="shared" si="200"/>
        <v>1244.199999999999</v>
      </c>
      <c r="I258" s="60"/>
      <c r="J258" s="70"/>
      <c r="K258" s="60">
        <v>49721.7</v>
      </c>
      <c r="L258" s="70">
        <f t="shared" si="199"/>
        <v>2583.699999999997</v>
      </c>
      <c r="M258" s="60"/>
      <c r="N258" s="70"/>
      <c r="O258" s="60">
        <v>334340</v>
      </c>
      <c r="P258" s="70">
        <f t="shared" si="184"/>
        <v>8980</v>
      </c>
      <c r="Q258" s="60">
        <v>440350</v>
      </c>
      <c r="R258" s="70">
        <f t="shared" si="202"/>
        <v>20490</v>
      </c>
      <c r="S258" s="60">
        <v>583870</v>
      </c>
      <c r="T258" s="70">
        <f t="shared" si="203"/>
        <v>24120</v>
      </c>
      <c r="U258" s="60">
        <v>101153</v>
      </c>
      <c r="V258" s="70">
        <f t="shared" si="204"/>
        <v>12227</v>
      </c>
      <c r="W258" s="60">
        <v>515320</v>
      </c>
      <c r="X258" s="70">
        <f t="shared" si="205"/>
        <v>16140</v>
      </c>
      <c r="Y258" s="60">
        <v>249210</v>
      </c>
      <c r="Z258" s="70">
        <f t="shared" si="206"/>
        <v>10390</v>
      </c>
      <c r="AA258" s="60">
        <v>647140</v>
      </c>
      <c r="AB258" s="70">
        <f t="shared" si="207"/>
        <v>27940</v>
      </c>
      <c r="AC258" s="134">
        <f t="shared" si="192"/>
        <v>671265.6096256679</v>
      </c>
      <c r="AD258" s="139">
        <v>0.035500000000000004</v>
      </c>
      <c r="AE258" s="136">
        <f t="shared" si="209"/>
        <v>23829.929141711214</v>
      </c>
      <c r="AF258" s="137">
        <f>SUM(AE256:AE258)</f>
        <v>51893.106280748645</v>
      </c>
      <c r="AH258" s="147">
        <f t="shared" si="195"/>
        <v>550978.6096256679</v>
      </c>
      <c r="AI258" s="186">
        <f t="shared" si="193"/>
        <v>19559.740641711214</v>
      </c>
      <c r="AJ258" s="187">
        <f t="shared" si="196"/>
        <v>120287</v>
      </c>
      <c r="AK258" s="186">
        <f t="shared" si="194"/>
        <v>4270.1885</v>
      </c>
    </row>
    <row r="259" spans="1:37" s="54" customFormat="1" ht="12.75">
      <c r="A259" s="127">
        <v>38626</v>
      </c>
      <c r="B259" s="116">
        <f>B$39</f>
        <v>38652</v>
      </c>
      <c r="C259" s="263">
        <v>4626</v>
      </c>
      <c r="D259" s="264">
        <f>IF(C259="","",C259-C258)</f>
        <v>200.77999999999975</v>
      </c>
      <c r="E259" s="316" t="s">
        <v>68</v>
      </c>
      <c r="F259" s="57">
        <v>150</v>
      </c>
      <c r="G259" s="67">
        <v>13866.8</v>
      </c>
      <c r="H259" s="63">
        <f>IF(G259="","",G259-G258)</f>
        <v>1172.3999999999996</v>
      </c>
      <c r="I259" s="67"/>
      <c r="J259" s="147"/>
      <c r="K259" s="66">
        <v>52379.8</v>
      </c>
      <c r="L259" s="63">
        <f aca="true" t="shared" si="210" ref="L259:L267">IF(K259="","",K259-K258)</f>
        <v>2658.100000000006</v>
      </c>
      <c r="M259" s="67"/>
      <c r="N259" s="147"/>
      <c r="O259" s="58">
        <v>344110</v>
      </c>
      <c r="P259" s="59">
        <f t="shared" si="184"/>
        <v>9770</v>
      </c>
      <c r="Q259" s="58">
        <v>462290</v>
      </c>
      <c r="R259" s="59">
        <f t="shared" si="202"/>
        <v>21940</v>
      </c>
      <c r="S259" s="58">
        <v>607270</v>
      </c>
      <c r="T259" s="59">
        <f t="shared" si="203"/>
        <v>23400</v>
      </c>
      <c r="U259" s="58">
        <v>105491</v>
      </c>
      <c r="V259" s="59">
        <f t="shared" si="204"/>
        <v>4338</v>
      </c>
      <c r="W259" s="58">
        <v>530500</v>
      </c>
      <c r="X259" s="59">
        <f t="shared" si="205"/>
        <v>15180</v>
      </c>
      <c r="Y259" s="58">
        <v>258820</v>
      </c>
      <c r="Z259" s="59">
        <f t="shared" si="206"/>
        <v>9610</v>
      </c>
      <c r="AA259" s="58">
        <v>673370</v>
      </c>
      <c r="AB259" s="59">
        <f t="shared" si="207"/>
        <v>26230</v>
      </c>
      <c r="AC259" s="374">
        <f t="shared" si="192"/>
        <v>669462.6524064178</v>
      </c>
      <c r="AD259" s="141">
        <v>0.035500000000000004</v>
      </c>
      <c r="AE259" s="126">
        <f t="shared" si="209"/>
        <v>23765.924160427832</v>
      </c>
      <c r="AF259" s="132"/>
      <c r="AH259" s="147">
        <f t="shared" si="195"/>
        <v>558994.6524064178</v>
      </c>
      <c r="AI259" s="186">
        <f t="shared" si="193"/>
        <v>19844.310160427834</v>
      </c>
      <c r="AJ259" s="187">
        <f t="shared" si="196"/>
        <v>110468</v>
      </c>
      <c r="AK259" s="186">
        <f t="shared" si="194"/>
        <v>3921.6140000000005</v>
      </c>
    </row>
    <row r="260" spans="1:37" s="54" customFormat="1" ht="12.75">
      <c r="A260" s="127">
        <v>38657</v>
      </c>
      <c r="B260" s="116">
        <v>38679</v>
      </c>
      <c r="C260" s="250"/>
      <c r="D260" s="168">
        <f>D261</f>
        <v>165.92500000000018</v>
      </c>
      <c r="E260" s="67" t="s">
        <v>68</v>
      </c>
      <c r="F260" s="57">
        <v>150</v>
      </c>
      <c r="G260" s="58">
        <v>14847.4</v>
      </c>
      <c r="H260" s="83">
        <f aca="true" t="shared" si="211" ref="H260:H267">IF(G260="","",G260-G259)</f>
        <v>980.6000000000004</v>
      </c>
      <c r="I260" s="58"/>
      <c r="J260" s="147"/>
      <c r="K260" s="58">
        <v>54705.3</v>
      </c>
      <c r="L260" s="59">
        <f t="shared" si="210"/>
        <v>2325.5</v>
      </c>
      <c r="M260" s="67"/>
      <c r="N260" s="147"/>
      <c r="O260" s="58">
        <v>352790</v>
      </c>
      <c r="P260" s="59">
        <f t="shared" si="184"/>
        <v>8680</v>
      </c>
      <c r="Q260" s="58">
        <v>477550</v>
      </c>
      <c r="R260" s="59">
        <f t="shared" si="202"/>
        <v>15260</v>
      </c>
      <c r="S260" s="58">
        <v>628430</v>
      </c>
      <c r="T260" s="59">
        <f t="shared" si="203"/>
        <v>21160</v>
      </c>
      <c r="U260" s="58">
        <v>105590</v>
      </c>
      <c r="V260" s="59">
        <f t="shared" si="204"/>
        <v>99</v>
      </c>
      <c r="W260" s="58">
        <v>544010</v>
      </c>
      <c r="X260" s="59">
        <f t="shared" si="205"/>
        <v>13510</v>
      </c>
      <c r="Y260" s="58">
        <v>266930</v>
      </c>
      <c r="Z260" s="59">
        <f t="shared" si="206"/>
        <v>8110</v>
      </c>
      <c r="AA260" s="58">
        <v>696570</v>
      </c>
      <c r="AB260" s="59">
        <f t="shared" si="207"/>
        <v>23200</v>
      </c>
      <c r="AC260" s="129">
        <f t="shared" si="192"/>
        <v>574246.9411764706</v>
      </c>
      <c r="AD260" s="158">
        <v>0.035500000000000004</v>
      </c>
      <c r="AE260" s="126">
        <f t="shared" si="209"/>
        <v>20385.766411764707</v>
      </c>
      <c r="AF260" s="133"/>
      <c r="AH260" s="147">
        <f t="shared" si="195"/>
        <v>484227.9411764706</v>
      </c>
      <c r="AI260" s="186">
        <f t="shared" si="193"/>
        <v>17190.09191176471</v>
      </c>
      <c r="AJ260" s="187">
        <f t="shared" si="196"/>
        <v>90019</v>
      </c>
      <c r="AK260" s="186">
        <f t="shared" si="194"/>
        <v>3195.6745000000005</v>
      </c>
    </row>
    <row r="261" spans="1:37" s="54" customFormat="1" ht="13.5" thickBot="1">
      <c r="A261" s="127">
        <v>38687</v>
      </c>
      <c r="B261" s="116">
        <v>38701</v>
      </c>
      <c r="C261" s="191">
        <v>4957.85</v>
      </c>
      <c r="D261" s="61">
        <f>IF(C261="","",(C261-C259)/2)</f>
        <v>165.92500000000018</v>
      </c>
      <c r="E261" s="69" t="s">
        <v>68</v>
      </c>
      <c r="F261" s="61">
        <v>100</v>
      </c>
      <c r="G261" s="60">
        <v>15459.1</v>
      </c>
      <c r="H261" s="70">
        <f t="shared" si="211"/>
        <v>611.7000000000007</v>
      </c>
      <c r="I261" s="60"/>
      <c r="J261" s="148"/>
      <c r="K261" s="60">
        <v>56402.9</v>
      </c>
      <c r="L261" s="70">
        <f t="shared" si="210"/>
        <v>1697.5999999999985</v>
      </c>
      <c r="M261" s="69"/>
      <c r="N261" s="148"/>
      <c r="O261" s="60">
        <v>358980</v>
      </c>
      <c r="P261" s="59">
        <f t="shared" si="184"/>
        <v>6190</v>
      </c>
      <c r="Q261" s="60">
        <v>483370</v>
      </c>
      <c r="R261" s="59">
        <f t="shared" si="202"/>
        <v>5820</v>
      </c>
      <c r="S261" s="60">
        <v>642940</v>
      </c>
      <c r="T261" s="59">
        <f t="shared" si="203"/>
        <v>14510</v>
      </c>
      <c r="U261" s="60">
        <v>105663</v>
      </c>
      <c r="V261" s="59">
        <f t="shared" si="204"/>
        <v>73</v>
      </c>
      <c r="W261" s="60">
        <v>553730</v>
      </c>
      <c r="X261" s="59">
        <f t="shared" si="205"/>
        <v>9720</v>
      </c>
      <c r="Y261" s="60">
        <v>272480</v>
      </c>
      <c r="Z261" s="59">
        <f t="shared" si="206"/>
        <v>5550</v>
      </c>
      <c r="AA261" s="60">
        <v>712200</v>
      </c>
      <c r="AB261" s="59">
        <f t="shared" si="207"/>
        <v>15630</v>
      </c>
      <c r="AC261" s="283">
        <f t="shared" si="192"/>
        <v>401774.41711229936</v>
      </c>
      <c r="AD261" s="139">
        <v>0.035500000000000004</v>
      </c>
      <c r="AE261" s="170">
        <f t="shared" si="209"/>
        <v>14262.99180748663</v>
      </c>
      <c r="AF261" s="137">
        <f>SUM(AE259:AE261)</f>
        <v>58414.68237967917</v>
      </c>
      <c r="AH261" s="147">
        <f t="shared" si="195"/>
        <v>344281.41711229936</v>
      </c>
      <c r="AI261" s="186">
        <f t="shared" si="193"/>
        <v>12221.990307486629</v>
      </c>
      <c r="AJ261" s="187">
        <f t="shared" si="196"/>
        <v>57493</v>
      </c>
      <c r="AK261" s="186">
        <f t="shared" si="194"/>
        <v>2041.0015000000003</v>
      </c>
    </row>
    <row r="262" spans="1:37" s="54" customFormat="1" ht="12.75">
      <c r="A262" s="127">
        <v>38718</v>
      </c>
      <c r="B262" s="116">
        <v>38736</v>
      </c>
      <c r="C262" s="250">
        <v>5112.6</v>
      </c>
      <c r="D262" s="264">
        <f aca="true" t="shared" si="212" ref="D262:D267">IF(C262="","",C262-C261)</f>
        <v>154.75</v>
      </c>
      <c r="E262" s="316" t="s">
        <v>68</v>
      </c>
      <c r="F262" s="57">
        <v>150</v>
      </c>
      <c r="G262" s="58">
        <v>16022</v>
      </c>
      <c r="H262" s="63">
        <f t="shared" si="211"/>
        <v>562.8999999999996</v>
      </c>
      <c r="I262" s="58"/>
      <c r="J262" s="149"/>
      <c r="K262" s="58">
        <v>58707</v>
      </c>
      <c r="L262" s="149">
        <f t="shared" si="210"/>
        <v>2304.0999999999985</v>
      </c>
      <c r="M262" s="58"/>
      <c r="N262" s="149"/>
      <c r="O262" s="66">
        <v>366550</v>
      </c>
      <c r="P262" s="63">
        <f t="shared" si="184"/>
        <v>7570</v>
      </c>
      <c r="Q262" s="66">
        <v>491430</v>
      </c>
      <c r="R262" s="63">
        <f t="shared" si="202"/>
        <v>8060</v>
      </c>
      <c r="S262" s="66">
        <v>664230</v>
      </c>
      <c r="T262" s="63">
        <f t="shared" si="203"/>
        <v>21290</v>
      </c>
      <c r="U262" s="66">
        <v>105750</v>
      </c>
      <c r="V262" s="63">
        <f t="shared" si="204"/>
        <v>87</v>
      </c>
      <c r="W262" s="66">
        <v>567430</v>
      </c>
      <c r="X262" s="63">
        <f t="shared" si="205"/>
        <v>13700</v>
      </c>
      <c r="Y262" s="66">
        <v>279480</v>
      </c>
      <c r="Z262" s="63">
        <f t="shared" si="206"/>
        <v>7000</v>
      </c>
      <c r="AA262" s="66">
        <v>735230</v>
      </c>
      <c r="AB262" s="63">
        <f t="shared" si="207"/>
        <v>23030</v>
      </c>
      <c r="AC262" s="129">
        <f t="shared" si="192"/>
        <v>504767.74866310135</v>
      </c>
      <c r="AD262" s="141">
        <v>0.035500000000000004</v>
      </c>
      <c r="AE262" s="375">
        <f t="shared" si="209"/>
        <v>17919.2550775401</v>
      </c>
      <c r="AF262" s="132"/>
      <c r="AH262" s="147">
        <f t="shared" si="195"/>
        <v>424030.74866310135</v>
      </c>
      <c r="AI262" s="186">
        <f t="shared" si="193"/>
        <v>15053.091577540099</v>
      </c>
      <c r="AJ262" s="187">
        <f t="shared" si="196"/>
        <v>80737</v>
      </c>
      <c r="AK262" s="186">
        <f t="shared" si="194"/>
        <v>2866.1635</v>
      </c>
    </row>
    <row r="263" spans="1:37" s="54" customFormat="1" ht="12.75">
      <c r="A263" s="127">
        <v>38749</v>
      </c>
      <c r="B263" s="116">
        <v>38764</v>
      </c>
      <c r="C263" s="250">
        <v>5281.5</v>
      </c>
      <c r="D263" s="320">
        <f t="shared" si="212"/>
        <v>168.89999999999964</v>
      </c>
      <c r="E263" s="316" t="s">
        <v>68</v>
      </c>
      <c r="F263" s="57">
        <v>150</v>
      </c>
      <c r="G263" s="58">
        <v>16772</v>
      </c>
      <c r="H263" s="83">
        <f t="shared" si="211"/>
        <v>750</v>
      </c>
      <c r="I263" s="58"/>
      <c r="J263" s="74"/>
      <c r="K263" s="58">
        <v>54522.7</v>
      </c>
      <c r="L263" s="74">
        <v>2300</v>
      </c>
      <c r="M263" s="58"/>
      <c r="N263" s="74"/>
      <c r="O263" s="58">
        <v>375160</v>
      </c>
      <c r="P263" s="59">
        <f t="shared" si="184"/>
        <v>8610</v>
      </c>
      <c r="Q263" s="58">
        <v>499970</v>
      </c>
      <c r="R263" s="59">
        <f t="shared" si="202"/>
        <v>8540</v>
      </c>
      <c r="S263" s="58">
        <v>683490</v>
      </c>
      <c r="T263" s="59">
        <f t="shared" si="203"/>
        <v>19260</v>
      </c>
      <c r="U263" s="58">
        <v>105834</v>
      </c>
      <c r="V263" s="59">
        <f t="shared" si="204"/>
        <v>84</v>
      </c>
      <c r="W263" s="58">
        <v>581800</v>
      </c>
      <c r="X263" s="59">
        <f t="shared" si="205"/>
        <v>14370</v>
      </c>
      <c r="Y263" s="58">
        <v>285620</v>
      </c>
      <c r="Z263" s="59">
        <f t="shared" si="206"/>
        <v>6140</v>
      </c>
      <c r="AA263" s="58">
        <v>755140</v>
      </c>
      <c r="AB263" s="59">
        <f t="shared" si="207"/>
        <v>19910</v>
      </c>
      <c r="AC263" s="129">
        <f t="shared" si="192"/>
        <v>527301.7005347593</v>
      </c>
      <c r="AD263" s="158">
        <v>0.035500000000000004</v>
      </c>
      <c r="AE263" s="126">
        <f t="shared" si="209"/>
        <v>18719.210368983957</v>
      </c>
      <c r="AF263" s="133"/>
      <c r="AH263" s="147">
        <f t="shared" si="195"/>
        <v>450387.70053475926</v>
      </c>
      <c r="AI263" s="186">
        <f t="shared" si="193"/>
        <v>15988.763368983955</v>
      </c>
      <c r="AJ263" s="187">
        <f t="shared" si="196"/>
        <v>76914</v>
      </c>
      <c r="AK263" s="186">
        <f t="shared" si="194"/>
        <v>2730.447</v>
      </c>
    </row>
    <row r="264" spans="1:37" s="54" customFormat="1" ht="13.5" thickBot="1">
      <c r="A264" s="127">
        <v>38777</v>
      </c>
      <c r="B264" s="116">
        <v>38791</v>
      </c>
      <c r="C264" s="191">
        <v>5419</v>
      </c>
      <c r="D264" s="194">
        <f t="shared" si="212"/>
        <v>137.5</v>
      </c>
      <c r="E264" s="193" t="s">
        <v>68</v>
      </c>
      <c r="F264" s="61">
        <v>150</v>
      </c>
      <c r="G264" s="60">
        <v>17319.8</v>
      </c>
      <c r="H264" s="70">
        <f t="shared" si="211"/>
        <v>547.7999999999993</v>
      </c>
      <c r="I264" s="60"/>
      <c r="J264" s="169"/>
      <c r="K264" s="376">
        <v>62970.9</v>
      </c>
      <c r="L264" s="169">
        <f>IF(K264="","",(K264-K262)-L263)</f>
        <v>1963.9000000000015</v>
      </c>
      <c r="M264" s="376"/>
      <c r="N264" s="169"/>
      <c r="O264" s="376">
        <v>382780</v>
      </c>
      <c r="P264" s="377">
        <f t="shared" si="184"/>
        <v>7620</v>
      </c>
      <c r="Q264" s="376">
        <v>506640</v>
      </c>
      <c r="R264" s="377">
        <f t="shared" si="202"/>
        <v>6670</v>
      </c>
      <c r="S264" s="376">
        <v>701640</v>
      </c>
      <c r="T264" s="377">
        <f t="shared" si="203"/>
        <v>18150</v>
      </c>
      <c r="U264" s="376">
        <v>105923</v>
      </c>
      <c r="V264" s="377">
        <f t="shared" si="204"/>
        <v>89</v>
      </c>
      <c r="W264" s="376">
        <v>593220</v>
      </c>
      <c r="X264" s="377">
        <f t="shared" si="205"/>
        <v>11420</v>
      </c>
      <c r="Y264" s="376">
        <v>290790</v>
      </c>
      <c r="Z264" s="377">
        <f t="shared" si="206"/>
        <v>5170</v>
      </c>
      <c r="AA264" s="376">
        <v>772730</v>
      </c>
      <c r="AB264" s="377">
        <f t="shared" si="207"/>
        <v>17590</v>
      </c>
      <c r="AC264" s="378">
        <f t="shared" si="192"/>
        <v>440933.5989304814</v>
      </c>
      <c r="AD264" s="379">
        <v>0.035500000000000004</v>
      </c>
      <c r="AE264" s="380">
        <f t="shared" si="209"/>
        <v>15653.142762032092</v>
      </c>
      <c r="AF264" s="381">
        <f>SUM(AE262:AE264)</f>
        <v>52291.60820855615</v>
      </c>
      <c r="AH264" s="147">
        <f t="shared" si="195"/>
        <v>374224.5989304814</v>
      </c>
      <c r="AI264" s="186">
        <f t="shared" si="193"/>
        <v>13284.973262032092</v>
      </c>
      <c r="AJ264" s="187">
        <f t="shared" si="196"/>
        <v>66709</v>
      </c>
      <c r="AK264" s="186">
        <f t="shared" si="194"/>
        <v>2368.1695000000004</v>
      </c>
    </row>
    <row r="265" spans="1:37" s="54" customFormat="1" ht="12.75">
      <c r="A265" s="127">
        <v>38808</v>
      </c>
      <c r="B265" s="116">
        <f>B$45</f>
        <v>38824</v>
      </c>
      <c r="C265" s="250">
        <v>5628</v>
      </c>
      <c r="D265" s="264">
        <f t="shared" si="212"/>
        <v>209</v>
      </c>
      <c r="E265" s="316" t="s">
        <v>68</v>
      </c>
      <c r="F265" s="57">
        <v>100</v>
      </c>
      <c r="G265" s="58">
        <v>18139.6</v>
      </c>
      <c r="H265" s="63">
        <f t="shared" si="211"/>
        <v>819.7999999999993</v>
      </c>
      <c r="I265" s="58"/>
      <c r="J265" s="149"/>
      <c r="K265" s="58">
        <v>65599</v>
      </c>
      <c r="L265" s="149">
        <f t="shared" si="210"/>
        <v>2628.0999999999985</v>
      </c>
      <c r="M265" s="58"/>
      <c r="N265" s="149"/>
      <c r="O265" s="66">
        <v>394110</v>
      </c>
      <c r="P265" s="63">
        <f>IF(O265="","",O265-O264)</f>
        <v>11330</v>
      </c>
      <c r="Q265" s="66">
        <v>516970</v>
      </c>
      <c r="R265" s="63">
        <f>IF(Q265="","",Q265-Q264)</f>
        <v>10330</v>
      </c>
      <c r="S265" s="66">
        <v>725440</v>
      </c>
      <c r="T265" s="63">
        <f>IF(S265="","",S265-S264)</f>
        <v>23800</v>
      </c>
      <c r="U265" s="66">
        <v>106118</v>
      </c>
      <c r="V265" s="63">
        <f>IF(U265="","",U265-U264)</f>
        <v>195</v>
      </c>
      <c r="W265" s="66">
        <v>607950</v>
      </c>
      <c r="X265" s="63">
        <f>IF(W265="","",W265-W264)</f>
        <v>14730</v>
      </c>
      <c r="Y265" s="66">
        <v>297630</v>
      </c>
      <c r="Z265" s="63">
        <f>IF(Y265="","",Y265-Y264)</f>
        <v>6840</v>
      </c>
      <c r="AA265" s="66">
        <v>798110</v>
      </c>
      <c r="AB265" s="63">
        <f>IF(AA265="","",AA265-AA264)</f>
        <v>25380</v>
      </c>
      <c r="AC265" s="129">
        <f t="shared" si="192"/>
        <v>594864.3582887697</v>
      </c>
      <c r="AD265" s="141">
        <v>0.035500000000000004</v>
      </c>
      <c r="AE265" s="375">
        <f t="shared" si="209"/>
        <v>21117.684719251327</v>
      </c>
      <c r="AF265" s="132"/>
      <c r="AH265" s="147">
        <f t="shared" si="195"/>
        <v>502259.3582887697</v>
      </c>
      <c r="AI265" s="186">
        <f t="shared" si="193"/>
        <v>17830.207219251326</v>
      </c>
      <c r="AJ265" s="187">
        <f t="shared" si="196"/>
        <v>92605</v>
      </c>
      <c r="AK265" s="186">
        <f t="shared" si="194"/>
        <v>3287.4775000000004</v>
      </c>
    </row>
    <row r="266" spans="1:37" s="54" customFormat="1" ht="12.75">
      <c r="A266" s="127">
        <v>38838</v>
      </c>
      <c r="B266" s="116">
        <v>38856</v>
      </c>
      <c r="C266" s="250">
        <v>5692.5</v>
      </c>
      <c r="D266" s="168">
        <f t="shared" si="212"/>
        <v>64.5</v>
      </c>
      <c r="E266" s="67" t="s">
        <v>68</v>
      </c>
      <c r="F266" s="57">
        <v>100</v>
      </c>
      <c r="G266" s="58">
        <v>18776.4</v>
      </c>
      <c r="H266" s="83">
        <f t="shared" si="211"/>
        <v>636.8000000000029</v>
      </c>
      <c r="I266" s="58"/>
      <c r="J266" s="147"/>
      <c r="K266" s="58">
        <v>67374</v>
      </c>
      <c r="L266" s="147">
        <f t="shared" si="210"/>
        <v>1775</v>
      </c>
      <c r="M266" s="58"/>
      <c r="N266" s="147"/>
      <c r="O266" s="58">
        <v>399590</v>
      </c>
      <c r="P266" s="59">
        <f>IF(O266="","",O266-O265)</f>
        <v>5480</v>
      </c>
      <c r="Q266" s="58">
        <v>537520</v>
      </c>
      <c r="R266" s="59">
        <f>IF(Q266="","",Q266-Q265)</f>
        <v>20550</v>
      </c>
      <c r="S266" s="58">
        <v>740680</v>
      </c>
      <c r="T266" s="59">
        <f>IF(S266="","",S266-S265)</f>
        <v>15240</v>
      </c>
      <c r="U266" s="58">
        <v>112737</v>
      </c>
      <c r="V266" s="59">
        <f>IF(U266="","",U266-U265)</f>
        <v>6619</v>
      </c>
      <c r="W266" s="58">
        <v>615900</v>
      </c>
      <c r="X266" s="59">
        <f>IF(W266="","",W266-W265)</f>
        <v>7950</v>
      </c>
      <c r="Y266" s="58">
        <v>300170</v>
      </c>
      <c r="Z266" s="59">
        <f>IF(Y266="","",Y266-Y265)</f>
        <v>2540</v>
      </c>
      <c r="AA266" s="58">
        <v>818040</v>
      </c>
      <c r="AB266" s="59">
        <f>IF(AA266="","",AA266-AA265)</f>
        <v>19930</v>
      </c>
      <c r="AC266" s="129">
        <f t="shared" si="192"/>
        <v>422734.1336898399</v>
      </c>
      <c r="AD266" s="158">
        <v>0.035500000000000004</v>
      </c>
      <c r="AE266" s="126">
        <f t="shared" si="209"/>
        <v>15007.061745989318</v>
      </c>
      <c r="AF266" s="133"/>
      <c r="AH266" s="147">
        <f t="shared" si="195"/>
        <v>344425.1336898399</v>
      </c>
      <c r="AI266" s="186">
        <f t="shared" si="193"/>
        <v>12227.092245989319</v>
      </c>
      <c r="AJ266" s="187">
        <f t="shared" si="196"/>
        <v>78309</v>
      </c>
      <c r="AK266" s="186">
        <f t="shared" si="194"/>
        <v>2779.9695</v>
      </c>
    </row>
    <row r="267" spans="1:37" s="115" customFormat="1" ht="13.5" thickBot="1">
      <c r="A267" s="127">
        <v>38869</v>
      </c>
      <c r="B267" s="178">
        <v>38882</v>
      </c>
      <c r="C267" s="191">
        <v>5696.3</v>
      </c>
      <c r="D267" s="194">
        <f t="shared" si="212"/>
        <v>3.800000000000182</v>
      </c>
      <c r="E267" s="193" t="s">
        <v>68</v>
      </c>
      <c r="F267" s="61">
        <v>150</v>
      </c>
      <c r="G267" s="69">
        <v>19239</v>
      </c>
      <c r="H267" s="148">
        <f t="shared" si="211"/>
        <v>462.59999999999854</v>
      </c>
      <c r="I267" s="60"/>
      <c r="J267" s="148"/>
      <c r="K267" s="60">
        <v>68561</v>
      </c>
      <c r="L267" s="148">
        <f t="shared" si="210"/>
        <v>1187</v>
      </c>
      <c r="M267" s="60"/>
      <c r="N267" s="148"/>
      <c r="O267" s="60">
        <v>402330</v>
      </c>
      <c r="P267" s="70">
        <f>IF(O267="","",O267-O266)</f>
        <v>2740</v>
      </c>
      <c r="Q267" s="60">
        <v>554330</v>
      </c>
      <c r="R267" s="70">
        <f>IF(Q267="","",Q267-Q266)</f>
        <v>16810</v>
      </c>
      <c r="S267" s="60">
        <v>747910</v>
      </c>
      <c r="T267" s="70">
        <f>IF(S267="","",S267-S266)</f>
        <v>7230</v>
      </c>
      <c r="U267" s="60">
        <v>126178</v>
      </c>
      <c r="V267" s="70">
        <f>IF(U267="","",U267-U266)</f>
        <v>13441</v>
      </c>
      <c r="W267" s="60">
        <v>618880</v>
      </c>
      <c r="X267" s="70">
        <f>IF(W267="","",W267-W266)</f>
        <v>2980</v>
      </c>
      <c r="Y267" s="60">
        <v>300650</v>
      </c>
      <c r="Z267" s="70">
        <f>IF(Y267="","",Y267-Y266)</f>
        <v>480</v>
      </c>
      <c r="AA267" s="60">
        <v>824820</v>
      </c>
      <c r="AB267" s="70">
        <f>IF(AA267="","",AA267-AA266)</f>
        <v>6780</v>
      </c>
      <c r="AC267" s="283">
        <f t="shared" si="192"/>
        <v>291557.2566844918</v>
      </c>
      <c r="AD267" s="139">
        <v>0.035500000000000004</v>
      </c>
      <c r="AE267" s="170">
        <f t="shared" si="209"/>
        <v>10350.282612299461</v>
      </c>
      <c r="AF267" s="137">
        <f>SUM(AE265:AE267)</f>
        <v>46475.02907754011</v>
      </c>
      <c r="AH267" s="147">
        <f t="shared" si="195"/>
        <v>241096.25668449182</v>
      </c>
      <c r="AI267" s="186">
        <f t="shared" si="193"/>
        <v>8558.917112299461</v>
      </c>
      <c r="AJ267" s="187">
        <f t="shared" si="196"/>
        <v>50461</v>
      </c>
      <c r="AK267" s="186">
        <f t="shared" si="194"/>
        <v>1791.3655</v>
      </c>
    </row>
    <row r="268" spans="1:37" s="54" customFormat="1" ht="12.75">
      <c r="A268" s="127">
        <v>38899</v>
      </c>
      <c r="B268" s="178">
        <v>38915</v>
      </c>
      <c r="C268" s="250">
        <v>5741.53</v>
      </c>
      <c r="D268" s="264">
        <f aca="true" t="shared" si="213" ref="D268:D279">C268-C267</f>
        <v>45.22999999999956</v>
      </c>
      <c r="E268" s="250" t="s">
        <v>68</v>
      </c>
      <c r="F268" s="57">
        <v>100</v>
      </c>
      <c r="G268" s="58">
        <v>19875.71</v>
      </c>
      <c r="H268" s="63">
        <f aca="true" t="shared" si="214" ref="H268:H279">G268-G267</f>
        <v>636.7099999999991</v>
      </c>
      <c r="I268" s="58"/>
      <c r="J268" s="63"/>
      <c r="K268" s="58">
        <v>70211.21</v>
      </c>
      <c r="L268" s="63">
        <f>K268-K267</f>
        <v>1650.2100000000064</v>
      </c>
      <c r="M268" s="58"/>
      <c r="N268" s="63"/>
      <c r="O268" s="66">
        <v>406270</v>
      </c>
      <c r="P268" s="63">
        <f aca="true" t="shared" si="215" ref="P268:P321">O268-O267</f>
        <v>3940</v>
      </c>
      <c r="Q268" s="66">
        <v>579280</v>
      </c>
      <c r="R268" s="63">
        <f aca="true" t="shared" si="216" ref="R268:R273">Q268-Q267</f>
        <v>24950</v>
      </c>
      <c r="S268" s="66">
        <v>759770</v>
      </c>
      <c r="T268" s="63">
        <f aca="true" t="shared" si="217" ref="T268:T274">S268-S267</f>
        <v>11860</v>
      </c>
      <c r="U268" s="66">
        <v>139327</v>
      </c>
      <c r="V268" s="63">
        <f>U268-U267</f>
        <v>13149</v>
      </c>
      <c r="W268" s="66">
        <v>623860</v>
      </c>
      <c r="X268" s="63">
        <f aca="true" t="shared" si="218" ref="X268:X273">W268-W267</f>
        <v>4980</v>
      </c>
      <c r="Y268" s="66">
        <v>300970</v>
      </c>
      <c r="Z268" s="63">
        <f aca="true" t="shared" si="219" ref="Z268:Z273">Y268-Y267</f>
        <v>320</v>
      </c>
      <c r="AA268" s="66">
        <v>833690</v>
      </c>
      <c r="AB268" s="63">
        <f aca="true" t="shared" si="220" ref="AB268:AB273">AA268-AA267</f>
        <v>8870</v>
      </c>
      <c r="AC268" s="140">
        <f t="shared" si="192"/>
        <v>393222.7433155087</v>
      </c>
      <c r="AD268" s="141">
        <v>0.035500000000000004</v>
      </c>
      <c r="AE268" s="142">
        <f aca="true" t="shared" si="221" ref="AE268:AE279">AC268*AD268</f>
        <v>13959.407387700561</v>
      </c>
      <c r="AF268" s="132"/>
      <c r="AH268" s="147">
        <f t="shared" si="195"/>
        <v>325153.7433155087</v>
      </c>
      <c r="AI268" s="186">
        <f t="shared" si="193"/>
        <v>11542.95788770056</v>
      </c>
      <c r="AJ268" s="187">
        <f t="shared" si="196"/>
        <v>68069</v>
      </c>
      <c r="AK268" s="186">
        <f t="shared" si="194"/>
        <v>2416.4495</v>
      </c>
    </row>
    <row r="269" spans="1:37" s="54" customFormat="1" ht="12.75">
      <c r="A269" s="127">
        <v>38930</v>
      </c>
      <c r="B269" s="178">
        <v>38944</v>
      </c>
      <c r="C269" s="250">
        <v>5786.34</v>
      </c>
      <c r="D269" s="320">
        <f t="shared" si="213"/>
        <v>44.8100000000004</v>
      </c>
      <c r="E269" s="250" t="s">
        <v>68</v>
      </c>
      <c r="F269" s="57">
        <v>100</v>
      </c>
      <c r="G269" s="58">
        <v>20452.38</v>
      </c>
      <c r="H269" s="83">
        <f t="shared" si="214"/>
        <v>576.6700000000019</v>
      </c>
      <c r="I269" s="58"/>
      <c r="J269" s="59"/>
      <c r="K269" s="58">
        <v>71780.67</v>
      </c>
      <c r="L269" s="59">
        <f>K269-K268</f>
        <v>1569.4599999999919</v>
      </c>
      <c r="M269" s="58"/>
      <c r="N269" s="59"/>
      <c r="O269" s="58">
        <v>410660</v>
      </c>
      <c r="P269" s="59">
        <f t="shared" si="215"/>
        <v>4390</v>
      </c>
      <c r="Q269" s="58">
        <v>601520</v>
      </c>
      <c r="R269" s="59">
        <f t="shared" si="216"/>
        <v>22240</v>
      </c>
      <c r="S269" s="58">
        <v>771000</v>
      </c>
      <c r="T269" s="59">
        <f t="shared" si="217"/>
        <v>11230</v>
      </c>
      <c r="U269" s="58">
        <v>151376</v>
      </c>
      <c r="V269" s="59">
        <f>U269-U268</f>
        <v>12049</v>
      </c>
      <c r="W269" s="58">
        <v>627446</v>
      </c>
      <c r="X269" s="59">
        <f t="shared" si="218"/>
        <v>3586</v>
      </c>
      <c r="Y269" s="58">
        <v>302200</v>
      </c>
      <c r="Z269" s="59">
        <f t="shared" si="219"/>
        <v>1230</v>
      </c>
      <c r="AA269" s="58">
        <v>839170</v>
      </c>
      <c r="AB269" s="59">
        <f t="shared" si="220"/>
        <v>5480</v>
      </c>
      <c r="AC269" s="140">
        <f t="shared" si="192"/>
        <v>366480.4010695179</v>
      </c>
      <c r="AD269" s="158">
        <v>0.035500000000000004</v>
      </c>
      <c r="AE269" s="157">
        <f t="shared" si="221"/>
        <v>13010.054237967886</v>
      </c>
      <c r="AF269" s="133"/>
      <c r="AH269" s="147">
        <f t="shared" si="195"/>
        <v>306275.4010695179</v>
      </c>
      <c r="AI269" s="186">
        <f t="shared" si="193"/>
        <v>10872.776737967886</v>
      </c>
      <c r="AJ269" s="187">
        <f t="shared" si="196"/>
        <v>60205</v>
      </c>
      <c r="AK269" s="186">
        <f t="shared" si="194"/>
        <v>2137.2775</v>
      </c>
    </row>
    <row r="270" spans="1:37" s="54" customFormat="1" ht="13.5" thickBot="1">
      <c r="A270" s="127">
        <v>38961</v>
      </c>
      <c r="B270" s="178">
        <v>38975</v>
      </c>
      <c r="C270" s="191">
        <v>5927.04</v>
      </c>
      <c r="D270" s="194">
        <f t="shared" si="213"/>
        <v>140.69999999999982</v>
      </c>
      <c r="E270" s="191" t="s">
        <v>68</v>
      </c>
      <c r="F270" s="61">
        <v>100</v>
      </c>
      <c r="G270" s="69">
        <v>21652.5</v>
      </c>
      <c r="H270" s="148">
        <f t="shared" si="214"/>
        <v>1200.119999999999</v>
      </c>
      <c r="I270" s="60"/>
      <c r="J270" s="70"/>
      <c r="K270" s="60">
        <v>73915.36</v>
      </c>
      <c r="L270" s="70">
        <f>K270-K269</f>
        <v>2134.6900000000023</v>
      </c>
      <c r="M270" s="60"/>
      <c r="N270" s="70"/>
      <c r="O270" s="60">
        <v>417620</v>
      </c>
      <c r="P270" s="70">
        <f t="shared" si="215"/>
        <v>6960</v>
      </c>
      <c r="Q270" s="60">
        <v>622360</v>
      </c>
      <c r="R270" s="70">
        <f t="shared" si="216"/>
        <v>20840</v>
      </c>
      <c r="S270" s="60">
        <v>787550</v>
      </c>
      <c r="T270" s="70">
        <f t="shared" si="217"/>
        <v>16550</v>
      </c>
      <c r="U270" s="60">
        <v>159388</v>
      </c>
      <c r="V270" s="70">
        <f>U270-U269</f>
        <v>8012</v>
      </c>
      <c r="W270" s="60">
        <v>640580</v>
      </c>
      <c r="X270" s="70">
        <f t="shared" si="218"/>
        <v>13134</v>
      </c>
      <c r="Y270" s="60">
        <v>314770</v>
      </c>
      <c r="Z270" s="70">
        <f t="shared" si="219"/>
        <v>12570</v>
      </c>
      <c r="AA270" s="58">
        <v>854800</v>
      </c>
      <c r="AB270" s="59">
        <f t="shared" si="220"/>
        <v>15630</v>
      </c>
      <c r="AC270" s="134">
        <f t="shared" si="192"/>
        <v>571705.3582887701</v>
      </c>
      <c r="AD270" s="139">
        <v>0.035500000000000004</v>
      </c>
      <c r="AE270" s="136">
        <f t="shared" si="221"/>
        <v>20295.54021925134</v>
      </c>
      <c r="AF270" s="137">
        <f>SUM(AE268:AE270)</f>
        <v>47265.00184491978</v>
      </c>
      <c r="AH270" s="147">
        <f t="shared" si="195"/>
        <v>478009.35828877013</v>
      </c>
      <c r="AI270" s="186">
        <f t="shared" si="193"/>
        <v>16969.33221925134</v>
      </c>
      <c r="AJ270" s="187">
        <f t="shared" si="196"/>
        <v>93696</v>
      </c>
      <c r="AK270" s="186">
        <f t="shared" si="194"/>
        <v>3326.2080000000005</v>
      </c>
    </row>
    <row r="271" spans="1:37" s="54" customFormat="1" ht="12.75">
      <c r="A271" s="127">
        <v>38991</v>
      </c>
      <c r="B271" s="116">
        <v>39005</v>
      </c>
      <c r="C271" s="250">
        <v>6114.76</v>
      </c>
      <c r="D271" s="264">
        <f t="shared" si="213"/>
        <v>187.72000000000025</v>
      </c>
      <c r="E271" s="171" t="s">
        <v>68</v>
      </c>
      <c r="F271" s="57">
        <v>150</v>
      </c>
      <c r="G271" s="58">
        <v>22838.6</v>
      </c>
      <c r="H271" s="63">
        <f t="shared" si="214"/>
        <v>1186.0999999999985</v>
      </c>
      <c r="I271" s="58"/>
      <c r="J271" s="63"/>
      <c r="K271" s="58">
        <v>76283.91</v>
      </c>
      <c r="L271" s="63">
        <f aca="true" t="shared" si="222" ref="L271:L276">K271-K270</f>
        <v>2368.550000000003</v>
      </c>
      <c r="M271" s="58"/>
      <c r="N271" s="63"/>
      <c r="O271" s="66">
        <v>427210</v>
      </c>
      <c r="P271" s="63">
        <f t="shared" si="215"/>
        <v>9590</v>
      </c>
      <c r="Q271" s="66">
        <v>630120</v>
      </c>
      <c r="R271" s="63">
        <f t="shared" si="216"/>
        <v>7760</v>
      </c>
      <c r="S271" s="66">
        <v>818140</v>
      </c>
      <c r="T271" s="63">
        <f t="shared" si="217"/>
        <v>30590</v>
      </c>
      <c r="U271" s="66">
        <v>159491</v>
      </c>
      <c r="V271" s="63">
        <f>U271-U270</f>
        <v>103</v>
      </c>
      <c r="W271" s="66">
        <v>656060</v>
      </c>
      <c r="X271" s="63">
        <f t="shared" si="218"/>
        <v>15480</v>
      </c>
      <c r="Y271" s="66">
        <v>322690</v>
      </c>
      <c r="Z271" s="149">
        <f t="shared" si="219"/>
        <v>7920</v>
      </c>
      <c r="AA271" s="66">
        <v>874530</v>
      </c>
      <c r="AB271" s="63">
        <f t="shared" si="220"/>
        <v>19730</v>
      </c>
      <c r="AC271" s="374">
        <f t="shared" si="192"/>
        <v>611543.3208556152</v>
      </c>
      <c r="AD271" s="141">
        <v>0.035500000000000004</v>
      </c>
      <c r="AE271" s="126">
        <f t="shared" si="221"/>
        <v>21709.78789037434</v>
      </c>
      <c r="AF271" s="141"/>
      <c r="AH271" s="147">
        <f t="shared" si="195"/>
        <v>520370.3208556152</v>
      </c>
      <c r="AI271" s="186">
        <f t="shared" si="193"/>
        <v>18473.146390374342</v>
      </c>
      <c r="AJ271" s="187">
        <f t="shared" si="196"/>
        <v>91173</v>
      </c>
      <c r="AK271" s="186">
        <f t="shared" si="194"/>
        <v>3236.6415</v>
      </c>
    </row>
    <row r="272" spans="1:37" s="54" customFormat="1" ht="12.75">
      <c r="A272" s="127">
        <v>39022</v>
      </c>
      <c r="B272" s="116">
        <v>39036</v>
      </c>
      <c r="C272" s="250">
        <v>6362.81</v>
      </c>
      <c r="D272" s="320">
        <f t="shared" si="213"/>
        <v>248.05000000000018</v>
      </c>
      <c r="E272" s="171" t="s">
        <v>68</v>
      </c>
      <c r="F272" s="57">
        <v>150</v>
      </c>
      <c r="G272" s="58">
        <v>24145.88</v>
      </c>
      <c r="H272" s="83">
        <f t="shared" si="214"/>
        <v>1307.2800000000025</v>
      </c>
      <c r="I272" s="58"/>
      <c r="J272" s="83"/>
      <c r="K272" s="58">
        <v>79022.19</v>
      </c>
      <c r="L272" s="83">
        <f t="shared" si="222"/>
        <v>2738.279999999999</v>
      </c>
      <c r="M272" s="58"/>
      <c r="N272" s="83"/>
      <c r="O272" s="58">
        <v>438850</v>
      </c>
      <c r="P272" s="59">
        <f t="shared" si="215"/>
        <v>11640</v>
      </c>
      <c r="Q272" s="58">
        <v>638330</v>
      </c>
      <c r="R272" s="59">
        <f t="shared" si="216"/>
        <v>8210</v>
      </c>
      <c r="S272" s="58">
        <v>829100</v>
      </c>
      <c r="T272" s="59">
        <f t="shared" si="217"/>
        <v>10960</v>
      </c>
      <c r="U272" s="58">
        <v>159610</v>
      </c>
      <c r="V272" s="59">
        <f>U272-U271</f>
        <v>119</v>
      </c>
      <c r="W272" s="58">
        <v>673340</v>
      </c>
      <c r="X272" s="59">
        <f t="shared" si="218"/>
        <v>17280</v>
      </c>
      <c r="Y272" s="58">
        <v>332050</v>
      </c>
      <c r="Z272" s="147">
        <f t="shared" si="219"/>
        <v>9360</v>
      </c>
      <c r="AA272" s="58">
        <v>896250</v>
      </c>
      <c r="AB272" s="59">
        <f t="shared" si="220"/>
        <v>21720</v>
      </c>
      <c r="AC272" s="129">
        <f t="shared" si="192"/>
        <v>673354.5080213906</v>
      </c>
      <c r="AD272" s="158">
        <v>0.035500000000000004</v>
      </c>
      <c r="AE272" s="126">
        <f t="shared" si="221"/>
        <v>23904.08503475937</v>
      </c>
      <c r="AF272" s="158"/>
      <c r="AH272" s="147">
        <f t="shared" si="195"/>
        <v>594065.5080213906</v>
      </c>
      <c r="AI272" s="186">
        <f t="shared" si="193"/>
        <v>21089.32553475937</v>
      </c>
      <c r="AJ272" s="187">
        <f t="shared" si="196"/>
        <v>79289</v>
      </c>
      <c r="AK272" s="186">
        <f t="shared" si="194"/>
        <v>2814.7595</v>
      </c>
    </row>
    <row r="273" spans="1:37" s="54" customFormat="1" ht="13.5" thickBot="1">
      <c r="A273" s="127">
        <v>39052</v>
      </c>
      <c r="B273" s="116">
        <v>39066</v>
      </c>
      <c r="C273" s="71">
        <f>C272+(C274-C272)/2</f>
        <v>6496.92</v>
      </c>
      <c r="D273" s="70">
        <f t="shared" si="213"/>
        <v>134.10999999999967</v>
      </c>
      <c r="E273" s="172" t="s">
        <v>68</v>
      </c>
      <c r="F273" s="61">
        <v>100</v>
      </c>
      <c r="G273" s="60">
        <v>25053</v>
      </c>
      <c r="H273" s="70">
        <f t="shared" si="214"/>
        <v>907.119999999999</v>
      </c>
      <c r="I273" s="60"/>
      <c r="J273" s="70"/>
      <c r="K273" s="60">
        <v>81455</v>
      </c>
      <c r="L273" s="70">
        <f t="shared" si="222"/>
        <v>2432.8099999999977</v>
      </c>
      <c r="M273" s="60"/>
      <c r="N273" s="70"/>
      <c r="O273" s="68">
        <f>O272+(O274-O272)/2</f>
        <v>446025</v>
      </c>
      <c r="P273" s="147">
        <f t="shared" si="215"/>
        <v>7175</v>
      </c>
      <c r="Q273" s="68">
        <f>Q272+(Q274-Q272)/2</f>
        <v>644705</v>
      </c>
      <c r="R273" s="59">
        <f t="shared" si="216"/>
        <v>6375</v>
      </c>
      <c r="S273" s="171">
        <f>S272+(S274-S272)/2</f>
        <v>845550</v>
      </c>
      <c r="T273" s="147">
        <f t="shared" si="217"/>
        <v>16450</v>
      </c>
      <c r="U273" s="68">
        <f>U272+(U274-U272)/2</f>
        <v>159697.5</v>
      </c>
      <c r="V273" s="59">
        <f aca="true" t="shared" si="223" ref="V273:V290">U273-U272</f>
        <v>87.5</v>
      </c>
      <c r="W273" s="171">
        <f>W272+(W274-W272)/2</f>
        <v>685455</v>
      </c>
      <c r="X273" s="147">
        <f t="shared" si="218"/>
        <v>12115</v>
      </c>
      <c r="Y273" s="68">
        <f>Y272+(Y274-Y272)/2</f>
        <v>339455</v>
      </c>
      <c r="Z273" s="147">
        <f t="shared" si="219"/>
        <v>7405</v>
      </c>
      <c r="AA273" s="68">
        <f>AA272+(AA274-AA272)/2</f>
        <v>910715</v>
      </c>
      <c r="AB273" s="59">
        <f t="shared" si="220"/>
        <v>14465</v>
      </c>
      <c r="AC273" s="283">
        <f t="shared" si="192"/>
        <v>541885.3342245985</v>
      </c>
      <c r="AD273" s="139">
        <v>0.035500000000000004</v>
      </c>
      <c r="AE273" s="170">
        <f t="shared" si="221"/>
        <v>19236.92936497325</v>
      </c>
      <c r="AF273" s="137">
        <f>SUM(AE271:AE273)</f>
        <v>64850.802290106956</v>
      </c>
      <c r="AH273" s="147">
        <f t="shared" si="195"/>
        <v>477812.8342245984</v>
      </c>
      <c r="AI273" s="186">
        <f t="shared" si="193"/>
        <v>16962.355614973247</v>
      </c>
      <c r="AJ273" s="187">
        <f t="shared" si="196"/>
        <v>64072.5</v>
      </c>
      <c r="AK273" s="186">
        <f t="shared" si="194"/>
        <v>2274.57375</v>
      </c>
    </row>
    <row r="274" spans="1:37" s="54" customFormat="1" ht="12.75">
      <c r="A274" s="127">
        <v>39083</v>
      </c>
      <c r="B274" s="116">
        <v>39097</v>
      </c>
      <c r="C274" s="250">
        <v>6631.03</v>
      </c>
      <c r="D274" s="264">
        <f t="shared" si="213"/>
        <v>134.10999999999967</v>
      </c>
      <c r="E274" s="171" t="s">
        <v>68</v>
      </c>
      <c r="F274" s="57">
        <v>150</v>
      </c>
      <c r="G274" s="58">
        <v>25429.82</v>
      </c>
      <c r="H274" s="63">
        <f t="shared" si="214"/>
        <v>376.8199999999997</v>
      </c>
      <c r="I274" s="58"/>
      <c r="J274" s="63"/>
      <c r="K274" s="58">
        <v>83032.36</v>
      </c>
      <c r="L274" s="63">
        <f t="shared" si="222"/>
        <v>1577.3600000000006</v>
      </c>
      <c r="M274" s="58"/>
      <c r="N274" s="63"/>
      <c r="O274" s="66">
        <v>453200</v>
      </c>
      <c r="P274" s="63">
        <f t="shared" si="215"/>
        <v>7175</v>
      </c>
      <c r="Q274" s="66">
        <v>651080</v>
      </c>
      <c r="R274" s="63">
        <f aca="true" t="shared" si="224" ref="R274:R291">Q274-Q273</f>
        <v>6375</v>
      </c>
      <c r="S274" s="64">
        <v>862000</v>
      </c>
      <c r="T274" s="149">
        <f t="shared" si="217"/>
        <v>16450</v>
      </c>
      <c r="U274" s="66">
        <v>159785</v>
      </c>
      <c r="V274" s="149">
        <f t="shared" si="223"/>
        <v>87.5</v>
      </c>
      <c r="W274" s="66">
        <v>697570</v>
      </c>
      <c r="X274" s="63">
        <f aca="true" t="shared" si="225" ref="X274:X290">W274-W273</f>
        <v>12115</v>
      </c>
      <c r="Y274" s="66">
        <v>346860</v>
      </c>
      <c r="Z274" s="63">
        <f aca="true" t="shared" si="226" ref="Z274:Z291">Y274-Y273</f>
        <v>7405</v>
      </c>
      <c r="AA274" s="64">
        <v>925180</v>
      </c>
      <c r="AB274" s="63">
        <f aca="true" t="shared" si="227" ref="AB274:AB291">AA274-AA273</f>
        <v>14465</v>
      </c>
      <c r="AC274" s="129">
        <f t="shared" si="192"/>
        <v>363309.1310160428</v>
      </c>
      <c r="AD274" s="141">
        <v>0.035500000000000004</v>
      </c>
      <c r="AE274" s="375">
        <f t="shared" si="221"/>
        <v>12897.47415106952</v>
      </c>
      <c r="AF274" s="141"/>
      <c r="AH274" s="147">
        <f t="shared" si="195"/>
        <v>299236.6310160428</v>
      </c>
      <c r="AI274" s="186">
        <f t="shared" si="193"/>
        <v>10622.90040106952</v>
      </c>
      <c r="AJ274" s="187">
        <f t="shared" si="196"/>
        <v>64072.5</v>
      </c>
      <c r="AK274" s="186">
        <f t="shared" si="194"/>
        <v>2274.57375</v>
      </c>
    </row>
    <row r="275" spans="1:37" s="54" customFormat="1" ht="12.75">
      <c r="A275" s="127">
        <v>39114</v>
      </c>
      <c r="B275" s="116">
        <v>39128</v>
      </c>
      <c r="C275" s="250">
        <v>6854.71</v>
      </c>
      <c r="D275" s="320">
        <f t="shared" si="213"/>
        <v>223.6800000000003</v>
      </c>
      <c r="E275" s="171" t="s">
        <v>68</v>
      </c>
      <c r="F275" s="57">
        <v>150</v>
      </c>
      <c r="G275" s="58">
        <v>26206.4</v>
      </c>
      <c r="H275" s="83">
        <f t="shared" si="214"/>
        <v>776.5800000000017</v>
      </c>
      <c r="I275" s="58"/>
      <c r="J275" s="83"/>
      <c r="K275" s="58">
        <v>85498.5</v>
      </c>
      <c r="L275" s="83">
        <f t="shared" si="222"/>
        <v>2466.1399999999994</v>
      </c>
      <c r="M275" s="58"/>
      <c r="N275" s="83"/>
      <c r="O275" s="58">
        <v>462480</v>
      </c>
      <c r="P275" s="59">
        <f t="shared" si="215"/>
        <v>9280</v>
      </c>
      <c r="Q275" s="58">
        <v>689020</v>
      </c>
      <c r="R275" s="59">
        <f t="shared" si="224"/>
        <v>37940</v>
      </c>
      <c r="S275" s="67">
        <v>881400</v>
      </c>
      <c r="T275" s="147">
        <f>T263</f>
        <v>19260</v>
      </c>
      <c r="U275" s="58">
        <v>159967</v>
      </c>
      <c r="V275" s="147">
        <f t="shared" si="223"/>
        <v>182</v>
      </c>
      <c r="W275" s="58">
        <v>712270</v>
      </c>
      <c r="X275" s="59">
        <f t="shared" si="225"/>
        <v>14700</v>
      </c>
      <c r="Y275" s="58">
        <v>354950</v>
      </c>
      <c r="Z275" s="59">
        <f t="shared" si="226"/>
        <v>8090</v>
      </c>
      <c r="AA275" s="67">
        <v>944510</v>
      </c>
      <c r="AB275" s="59">
        <f t="shared" si="227"/>
        <v>19330</v>
      </c>
      <c r="AC275" s="129">
        <f t="shared" si="192"/>
        <v>592257.9358288771</v>
      </c>
      <c r="AD275" s="158">
        <v>0.035500000000000004</v>
      </c>
      <c r="AE275" s="126">
        <f t="shared" si="221"/>
        <v>21025.15672192514</v>
      </c>
      <c r="AF275" s="158"/>
      <c r="AH275" s="147">
        <f t="shared" si="195"/>
        <v>483475.93582887715</v>
      </c>
      <c r="AI275" s="186">
        <f t="shared" si="193"/>
        <v>17163.39572192514</v>
      </c>
      <c r="AJ275" s="187">
        <f t="shared" si="196"/>
        <v>108782</v>
      </c>
      <c r="AK275" s="186">
        <f t="shared" si="194"/>
        <v>3861.7610000000004</v>
      </c>
    </row>
    <row r="276" spans="1:37" s="54" customFormat="1" ht="13.5" thickBot="1">
      <c r="A276" s="127">
        <v>39142</v>
      </c>
      <c r="B276" s="116">
        <v>39156</v>
      </c>
      <c r="C276" s="191">
        <v>7012.42</v>
      </c>
      <c r="D276" s="194">
        <f t="shared" si="213"/>
        <v>157.71000000000004</v>
      </c>
      <c r="E276" s="172" t="s">
        <v>68</v>
      </c>
      <c r="F276" s="61">
        <v>150</v>
      </c>
      <c r="G276" s="60">
        <v>26741.09</v>
      </c>
      <c r="H276" s="70">
        <f t="shared" si="214"/>
        <v>534.6899999999987</v>
      </c>
      <c r="I276" s="60"/>
      <c r="J276" s="70"/>
      <c r="K276" s="60">
        <v>87419.54</v>
      </c>
      <c r="L276" s="70">
        <f t="shared" si="222"/>
        <v>1921.0399999999936</v>
      </c>
      <c r="M276" s="60"/>
      <c r="N276" s="70"/>
      <c r="O276" s="60">
        <v>469340</v>
      </c>
      <c r="P276" s="147">
        <f t="shared" si="215"/>
        <v>6860</v>
      </c>
      <c r="Q276" s="60">
        <v>664990</v>
      </c>
      <c r="R276" s="147">
        <f t="shared" si="224"/>
        <v>-24030</v>
      </c>
      <c r="S276" s="69">
        <v>896750</v>
      </c>
      <c r="T276" s="148">
        <f>T264</f>
        <v>18150</v>
      </c>
      <c r="U276" s="60">
        <v>160068</v>
      </c>
      <c r="V276" s="147">
        <f t="shared" si="223"/>
        <v>101</v>
      </c>
      <c r="W276" s="60">
        <v>726310</v>
      </c>
      <c r="X276" s="148">
        <f t="shared" si="225"/>
        <v>14040</v>
      </c>
      <c r="Y276" s="60">
        <v>361740</v>
      </c>
      <c r="Z276" s="70">
        <f t="shared" si="226"/>
        <v>6790</v>
      </c>
      <c r="AA276" s="69">
        <v>958600</v>
      </c>
      <c r="AB276" s="147">
        <f t="shared" si="227"/>
        <v>14090</v>
      </c>
      <c r="AC276" s="283">
        <f t="shared" si="192"/>
        <v>405444.8502673787</v>
      </c>
      <c r="AD276" s="139">
        <v>0.035500000000000004</v>
      </c>
      <c r="AE276" s="170">
        <f t="shared" si="221"/>
        <v>14393.292184491944</v>
      </c>
      <c r="AF276" s="137">
        <f>SUM(AE274:AE276)</f>
        <v>48315.92305748661</v>
      </c>
      <c r="AH276" s="147">
        <f t="shared" si="195"/>
        <v>369443.8502673787</v>
      </c>
      <c r="AI276" s="186">
        <f t="shared" si="193"/>
        <v>13115.256684491944</v>
      </c>
      <c r="AJ276" s="187">
        <f t="shared" si="196"/>
        <v>36001</v>
      </c>
      <c r="AK276" s="186">
        <f t="shared" si="194"/>
        <v>1278.0355000000002</v>
      </c>
    </row>
    <row r="277" spans="1:37" s="54" customFormat="1" ht="12.75">
      <c r="A277" s="127">
        <v>39173</v>
      </c>
      <c r="B277" s="116">
        <v>39188</v>
      </c>
      <c r="C277" s="68">
        <f>(C278-C276)/2+C276</f>
        <v>7161.62</v>
      </c>
      <c r="D277" s="63">
        <f t="shared" si="213"/>
        <v>149.19999999999982</v>
      </c>
      <c r="E277" s="171" t="s">
        <v>68</v>
      </c>
      <c r="F277" s="57">
        <v>100</v>
      </c>
      <c r="G277" s="58">
        <v>27636.75</v>
      </c>
      <c r="H277" s="63">
        <f t="shared" si="214"/>
        <v>895.6599999999999</v>
      </c>
      <c r="I277" s="58"/>
      <c r="J277" s="63"/>
      <c r="K277" s="58">
        <v>89949.63</v>
      </c>
      <c r="L277" s="63">
        <f aca="true" t="shared" si="228" ref="L277:L321">K277-K276</f>
        <v>2530.090000000011</v>
      </c>
      <c r="M277" s="58"/>
      <c r="N277" s="63"/>
      <c r="O277" s="66">
        <v>478130</v>
      </c>
      <c r="P277" s="63">
        <f t="shared" si="215"/>
        <v>8790</v>
      </c>
      <c r="Q277" s="66">
        <v>673030</v>
      </c>
      <c r="R277" s="63">
        <f t="shared" si="224"/>
        <v>8040</v>
      </c>
      <c r="S277" s="66">
        <v>916440</v>
      </c>
      <c r="T277" s="63">
        <f aca="true" t="shared" si="229" ref="T277:T291">S277-S276</f>
        <v>19690</v>
      </c>
      <c r="U277" s="66">
        <v>160186</v>
      </c>
      <c r="V277" s="63">
        <f t="shared" si="223"/>
        <v>118</v>
      </c>
      <c r="W277" s="66">
        <v>741710</v>
      </c>
      <c r="X277" s="63">
        <f t="shared" si="225"/>
        <v>15400</v>
      </c>
      <c r="Y277" s="66">
        <v>371200</v>
      </c>
      <c r="Z277" s="63">
        <f t="shared" si="226"/>
        <v>9460</v>
      </c>
      <c r="AA277" s="66">
        <v>985540</v>
      </c>
      <c r="AB277" s="63">
        <f t="shared" si="227"/>
        <v>26940</v>
      </c>
      <c r="AC277" s="129">
        <f t="shared" si="192"/>
        <v>579741.4759358303</v>
      </c>
      <c r="AD277" s="141">
        <v>0.035500000000000004</v>
      </c>
      <c r="AE277" s="375">
        <f t="shared" si="221"/>
        <v>20580.822395721978</v>
      </c>
      <c r="AF277" s="141"/>
      <c r="AH277" s="147">
        <f t="shared" si="195"/>
        <v>491303.47593583027</v>
      </c>
      <c r="AI277" s="186">
        <f t="shared" si="193"/>
        <v>17441.273395721975</v>
      </c>
      <c r="AJ277" s="187">
        <f t="shared" si="196"/>
        <v>88438</v>
      </c>
      <c r="AK277" s="186">
        <f t="shared" si="194"/>
        <v>3139.5490000000004</v>
      </c>
    </row>
    <row r="278" spans="1:37" s="54" customFormat="1" ht="12.75">
      <c r="A278" s="127">
        <v>39203</v>
      </c>
      <c r="B278" s="116">
        <v>39219</v>
      </c>
      <c r="C278" s="250">
        <v>7310.82</v>
      </c>
      <c r="D278" s="320">
        <f t="shared" si="213"/>
        <v>149.19999999999982</v>
      </c>
      <c r="E278" s="171" t="s">
        <v>68</v>
      </c>
      <c r="F278" s="57">
        <v>20</v>
      </c>
      <c r="G278" s="58">
        <v>28082.34</v>
      </c>
      <c r="H278" s="83">
        <f t="shared" si="214"/>
        <v>445.59000000000015</v>
      </c>
      <c r="I278" s="58"/>
      <c r="J278" s="83"/>
      <c r="K278" s="58">
        <v>91684.89</v>
      </c>
      <c r="L278" s="83">
        <f t="shared" si="228"/>
        <v>1735.2599999999948</v>
      </c>
      <c r="M278" s="58"/>
      <c r="N278" s="83"/>
      <c r="O278" s="58">
        <v>483330</v>
      </c>
      <c r="P278" s="59">
        <f t="shared" si="215"/>
        <v>5200</v>
      </c>
      <c r="Q278" s="58">
        <v>679310</v>
      </c>
      <c r="R278" s="59">
        <f t="shared" si="224"/>
        <v>6280</v>
      </c>
      <c r="S278" s="58">
        <v>927390</v>
      </c>
      <c r="T278" s="59">
        <f t="shared" si="229"/>
        <v>10950</v>
      </c>
      <c r="U278" s="58">
        <v>160387</v>
      </c>
      <c r="V278" s="59">
        <f t="shared" si="223"/>
        <v>201</v>
      </c>
      <c r="W278" s="58">
        <v>750440</v>
      </c>
      <c r="X278" s="59">
        <f t="shared" si="225"/>
        <v>8730</v>
      </c>
      <c r="Y278" s="58">
        <v>375350</v>
      </c>
      <c r="Z278" s="59">
        <f t="shared" si="226"/>
        <v>4150</v>
      </c>
      <c r="AA278" s="58">
        <v>994090</v>
      </c>
      <c r="AB278" s="59">
        <f t="shared" si="227"/>
        <v>8550</v>
      </c>
      <c r="AC278" s="129">
        <f t="shared" si="192"/>
        <v>358238.80748663034</v>
      </c>
      <c r="AD278" s="158">
        <v>0.035500000000000004</v>
      </c>
      <c r="AE278" s="126">
        <f t="shared" si="221"/>
        <v>12717.47766577538</v>
      </c>
      <c r="AF278" s="158"/>
      <c r="AH278" s="147">
        <f t="shared" si="195"/>
        <v>314177.80748663034</v>
      </c>
      <c r="AI278" s="186">
        <f t="shared" si="193"/>
        <v>11153.312165775378</v>
      </c>
      <c r="AJ278" s="187">
        <f t="shared" si="196"/>
        <v>44061</v>
      </c>
      <c r="AK278" s="186">
        <f t="shared" si="194"/>
        <v>1564.1655</v>
      </c>
    </row>
    <row r="279" spans="1:37" s="54" customFormat="1" ht="13.5" thickBot="1">
      <c r="A279" s="127">
        <v>39234</v>
      </c>
      <c r="B279" s="178">
        <v>39246</v>
      </c>
      <c r="C279" s="71">
        <v>7345</v>
      </c>
      <c r="D279" s="168">
        <f t="shared" si="213"/>
        <v>34.18000000000029</v>
      </c>
      <c r="E279" s="172" t="s">
        <v>68</v>
      </c>
      <c r="F279" s="61">
        <v>5</v>
      </c>
      <c r="G279" s="60">
        <v>28865.34</v>
      </c>
      <c r="H279" s="70">
        <f t="shared" si="214"/>
        <v>783</v>
      </c>
      <c r="I279" s="60"/>
      <c r="J279" s="70"/>
      <c r="K279" s="60">
        <v>92887.91</v>
      </c>
      <c r="L279" s="70">
        <f t="shared" si="228"/>
        <v>1203.020000000004</v>
      </c>
      <c r="M279" s="60"/>
      <c r="N279" s="70"/>
      <c r="O279" s="60">
        <v>486450</v>
      </c>
      <c r="P279" s="147">
        <f t="shared" si="215"/>
        <v>3120</v>
      </c>
      <c r="Q279" s="60">
        <v>693790</v>
      </c>
      <c r="R279" s="147">
        <f t="shared" si="224"/>
        <v>14480</v>
      </c>
      <c r="S279" s="60">
        <v>933590</v>
      </c>
      <c r="T279" s="147">
        <f t="shared" si="229"/>
        <v>6200</v>
      </c>
      <c r="U279" s="60">
        <v>165501</v>
      </c>
      <c r="V279" s="147">
        <f t="shared" si="223"/>
        <v>5114</v>
      </c>
      <c r="W279" s="60">
        <v>753170</v>
      </c>
      <c r="X279" s="147">
        <f t="shared" si="225"/>
        <v>2730</v>
      </c>
      <c r="Y279" s="60">
        <v>379370</v>
      </c>
      <c r="Z279" s="147">
        <f t="shared" si="226"/>
        <v>4020</v>
      </c>
      <c r="AA279" s="60">
        <v>999060</v>
      </c>
      <c r="AB279" s="147">
        <f t="shared" si="227"/>
        <v>4970</v>
      </c>
      <c r="AC279" s="283">
        <f t="shared" si="192"/>
        <v>311382.66310160485</v>
      </c>
      <c r="AD279" s="139">
        <v>0.035500000000000004</v>
      </c>
      <c r="AE279" s="170">
        <f t="shared" si="221"/>
        <v>11054.084540106973</v>
      </c>
      <c r="AF279" s="137">
        <f>SUM(AE277:AE279)</f>
        <v>44352.38460160433</v>
      </c>
      <c r="AH279" s="147">
        <f t="shared" si="195"/>
        <v>270748.66310160485</v>
      </c>
      <c r="AI279" s="186">
        <f t="shared" si="193"/>
        <v>9611.577540106973</v>
      </c>
      <c r="AJ279" s="187">
        <f t="shared" si="196"/>
        <v>40634</v>
      </c>
      <c r="AK279" s="186">
        <f t="shared" si="194"/>
        <v>1442.507</v>
      </c>
    </row>
    <row r="280" spans="1:37" s="54" customFormat="1" ht="12.75">
      <c r="A280" s="127">
        <v>39264</v>
      </c>
      <c r="B280" s="122">
        <v>39280</v>
      </c>
      <c r="C280" s="250">
        <v>7383.95</v>
      </c>
      <c r="D280" s="264">
        <f aca="true" t="shared" si="230" ref="D280:D321">C280-C279</f>
        <v>38.94999999999982</v>
      </c>
      <c r="E280" s="250" t="s">
        <v>68</v>
      </c>
      <c r="F280" s="57">
        <v>50</v>
      </c>
      <c r="G280" s="58">
        <v>28304.51</v>
      </c>
      <c r="H280" s="63">
        <v>0</v>
      </c>
      <c r="I280" s="58"/>
      <c r="J280" s="63"/>
      <c r="K280" s="58">
        <v>94658.18</v>
      </c>
      <c r="L280" s="63">
        <f t="shared" si="228"/>
        <v>1770.2699999999895</v>
      </c>
      <c r="M280" s="58"/>
      <c r="N280" s="63"/>
      <c r="O280" s="58">
        <v>492240</v>
      </c>
      <c r="P280" s="63">
        <f t="shared" si="215"/>
        <v>5790</v>
      </c>
      <c r="Q280" s="58">
        <v>735270</v>
      </c>
      <c r="R280" s="63">
        <f t="shared" si="224"/>
        <v>41480</v>
      </c>
      <c r="S280" s="58">
        <v>941120</v>
      </c>
      <c r="T280" s="63">
        <f t="shared" si="229"/>
        <v>7530</v>
      </c>
      <c r="U280" s="58">
        <v>185600</v>
      </c>
      <c r="V280" s="63">
        <f t="shared" si="223"/>
        <v>20099</v>
      </c>
      <c r="W280" s="58">
        <v>757370</v>
      </c>
      <c r="X280" s="63">
        <f t="shared" si="225"/>
        <v>4200</v>
      </c>
      <c r="Y280" s="58">
        <v>381630</v>
      </c>
      <c r="Z280" s="63">
        <f t="shared" si="226"/>
        <v>2260</v>
      </c>
      <c r="AA280" s="58">
        <v>1005960</v>
      </c>
      <c r="AB280" s="63">
        <f t="shared" si="227"/>
        <v>6900</v>
      </c>
      <c r="AC280" s="140">
        <f t="shared" si="192"/>
        <v>336817.8235294103</v>
      </c>
      <c r="AD280" s="141">
        <v>0.0366</v>
      </c>
      <c r="AE280" s="142">
        <f aca="true" t="shared" si="231" ref="AE280:AE291">AC280*AD280</f>
        <v>12327.532341176417</v>
      </c>
      <c r="AF280" s="132"/>
      <c r="AH280" s="147">
        <f t="shared" si="195"/>
        <v>248558.82352941032</v>
      </c>
      <c r="AI280" s="186">
        <f t="shared" si="193"/>
        <v>9097.252941176417</v>
      </c>
      <c r="AJ280" s="187">
        <f t="shared" si="196"/>
        <v>88259</v>
      </c>
      <c r="AK280" s="186">
        <f t="shared" si="194"/>
        <v>3230.2794</v>
      </c>
    </row>
    <row r="281" spans="1:37" s="54" customFormat="1" ht="12.75">
      <c r="A281" s="127">
        <v>39295</v>
      </c>
      <c r="B281" s="122">
        <v>39309</v>
      </c>
      <c r="C281" s="250">
        <v>7412.42</v>
      </c>
      <c r="D281" s="320">
        <f t="shared" si="230"/>
        <v>28.470000000000255</v>
      </c>
      <c r="E281" s="250" t="s">
        <v>68</v>
      </c>
      <c r="F281" s="57">
        <v>50</v>
      </c>
      <c r="G281" s="58">
        <v>28852.2</v>
      </c>
      <c r="H281" s="83">
        <f aca="true" t="shared" si="232" ref="H281:H293">G281-G280</f>
        <v>547.6900000000023</v>
      </c>
      <c r="I281" s="58"/>
      <c r="J281" s="59"/>
      <c r="K281" s="58">
        <v>96335.66</v>
      </c>
      <c r="L281" s="59">
        <f t="shared" si="228"/>
        <v>1677.4800000000105</v>
      </c>
      <c r="M281" s="58"/>
      <c r="N281" s="59"/>
      <c r="O281" s="58">
        <v>495470</v>
      </c>
      <c r="P281" s="59">
        <f t="shared" si="215"/>
        <v>3230</v>
      </c>
      <c r="Q281" s="58">
        <v>756290</v>
      </c>
      <c r="R281" s="59">
        <f t="shared" si="224"/>
        <v>21020</v>
      </c>
      <c r="S281" s="58">
        <v>947120</v>
      </c>
      <c r="T281" s="59">
        <f t="shared" si="229"/>
        <v>6000</v>
      </c>
      <c r="U281" s="58">
        <v>199011</v>
      </c>
      <c r="V281" s="59">
        <f t="shared" si="223"/>
        <v>13411</v>
      </c>
      <c r="W281" s="58">
        <v>759640</v>
      </c>
      <c r="X281" s="59">
        <f t="shared" si="225"/>
        <v>2270</v>
      </c>
      <c r="Y281" s="58">
        <v>383120</v>
      </c>
      <c r="Z281" s="59">
        <f t="shared" si="226"/>
        <v>1490</v>
      </c>
      <c r="AA281" s="58">
        <v>1013110</v>
      </c>
      <c r="AB281" s="59">
        <f t="shared" si="227"/>
        <v>7150</v>
      </c>
      <c r="AC281" s="140">
        <f t="shared" si="192"/>
        <v>362544.2620320873</v>
      </c>
      <c r="AD281" s="158">
        <v>0.0366</v>
      </c>
      <c r="AE281" s="157">
        <f t="shared" si="231"/>
        <v>13269.119990374396</v>
      </c>
      <c r="AF281" s="133"/>
      <c r="AH281" s="147">
        <f t="shared" si="195"/>
        <v>307973.2620320873</v>
      </c>
      <c r="AI281" s="186">
        <f t="shared" si="193"/>
        <v>11271.821390374396</v>
      </c>
      <c r="AJ281" s="187">
        <f t="shared" si="196"/>
        <v>54571</v>
      </c>
      <c r="AK281" s="186">
        <f t="shared" si="194"/>
        <v>1997.2986</v>
      </c>
    </row>
    <row r="282" spans="1:37" s="54" customFormat="1" ht="13.5" thickBot="1">
      <c r="A282" s="127">
        <v>39326</v>
      </c>
      <c r="B282" s="122">
        <v>39344</v>
      </c>
      <c r="C282" s="250">
        <v>7565.55</v>
      </c>
      <c r="D282" s="192">
        <f t="shared" si="230"/>
        <v>153.1300000000001</v>
      </c>
      <c r="E282" s="191" t="s">
        <v>68</v>
      </c>
      <c r="F282" s="61">
        <v>50</v>
      </c>
      <c r="G282" s="67">
        <v>29582.51</v>
      </c>
      <c r="H282" s="147">
        <f t="shared" si="232"/>
        <v>730.3099999999977</v>
      </c>
      <c r="I282" s="60"/>
      <c r="J282" s="70"/>
      <c r="K282" s="58">
        <v>98541.45</v>
      </c>
      <c r="L282" s="59">
        <f t="shared" si="228"/>
        <v>2205.7899999999936</v>
      </c>
      <c r="M282" s="60"/>
      <c r="N282" s="70"/>
      <c r="O282" s="58">
        <v>501680</v>
      </c>
      <c r="P282" s="147">
        <f t="shared" si="215"/>
        <v>6210</v>
      </c>
      <c r="Q282" s="58">
        <v>782060</v>
      </c>
      <c r="R282" s="147">
        <f t="shared" si="224"/>
        <v>25770</v>
      </c>
      <c r="S282" s="58">
        <v>963850</v>
      </c>
      <c r="T282" s="147">
        <f t="shared" si="229"/>
        <v>16730</v>
      </c>
      <c r="U282" s="58">
        <v>210640</v>
      </c>
      <c r="V282" s="147">
        <f t="shared" si="223"/>
        <v>11629</v>
      </c>
      <c r="W282" s="58">
        <v>773100</v>
      </c>
      <c r="X282" s="147">
        <f t="shared" si="225"/>
        <v>13460</v>
      </c>
      <c r="Y282" s="58">
        <v>389430</v>
      </c>
      <c r="Z282" s="147">
        <f t="shared" si="226"/>
        <v>6310</v>
      </c>
      <c r="AA282" s="58">
        <v>1028770</v>
      </c>
      <c r="AB282" s="147">
        <f t="shared" si="227"/>
        <v>15660</v>
      </c>
      <c r="AC282" s="134">
        <f t="shared" si="192"/>
        <v>515452.1550802127</v>
      </c>
      <c r="AD282" s="139">
        <v>0.0366</v>
      </c>
      <c r="AE282" s="136">
        <f t="shared" si="231"/>
        <v>18865.548875935783</v>
      </c>
      <c r="AF282" s="137">
        <f>SUM(AE280:AE282)</f>
        <v>44462.20120748659</v>
      </c>
      <c r="AH282" s="147">
        <f t="shared" si="195"/>
        <v>419683.1550802127</v>
      </c>
      <c r="AI282" s="186">
        <f t="shared" si="193"/>
        <v>15360.403475935784</v>
      </c>
      <c r="AJ282" s="187">
        <f t="shared" si="196"/>
        <v>95769</v>
      </c>
      <c r="AK282" s="186">
        <f t="shared" si="194"/>
        <v>3505.1454</v>
      </c>
    </row>
    <row r="283" spans="1:37" s="54" customFormat="1" ht="12.75">
      <c r="A283" s="127">
        <v>39356</v>
      </c>
      <c r="B283" s="116">
        <v>39370</v>
      </c>
      <c r="C283" s="263">
        <v>7770.92</v>
      </c>
      <c r="D283" s="264">
        <f t="shared" si="230"/>
        <v>205.3699999999999</v>
      </c>
      <c r="E283" s="62" t="s">
        <v>68</v>
      </c>
      <c r="F283" s="65">
        <v>75</v>
      </c>
      <c r="G283" s="66">
        <v>30690.35</v>
      </c>
      <c r="H283" s="63">
        <f t="shared" si="232"/>
        <v>1107.8400000000001</v>
      </c>
      <c r="I283" s="66"/>
      <c r="J283" s="63"/>
      <c r="K283" s="66">
        <v>100628.97</v>
      </c>
      <c r="L283" s="63">
        <f t="shared" si="228"/>
        <v>2087.520000000004</v>
      </c>
      <c r="M283" s="67"/>
      <c r="N283" s="63"/>
      <c r="O283" s="66">
        <v>511740</v>
      </c>
      <c r="P283" s="63">
        <f t="shared" si="215"/>
        <v>10060</v>
      </c>
      <c r="Q283" s="66">
        <v>795190</v>
      </c>
      <c r="R283" s="63">
        <f t="shared" si="224"/>
        <v>13130</v>
      </c>
      <c r="S283" s="66">
        <v>983820</v>
      </c>
      <c r="T283" s="63">
        <f t="shared" si="229"/>
        <v>19970</v>
      </c>
      <c r="U283" s="66">
        <v>214862</v>
      </c>
      <c r="V283" s="63">
        <f t="shared" si="223"/>
        <v>4222</v>
      </c>
      <c r="W283" s="66">
        <v>788690</v>
      </c>
      <c r="X283" s="63">
        <f t="shared" si="225"/>
        <v>15590</v>
      </c>
      <c r="Y283" s="66">
        <v>399010</v>
      </c>
      <c r="Z283" s="63">
        <f t="shared" si="226"/>
        <v>9580</v>
      </c>
      <c r="AA283" s="66">
        <v>1046710</v>
      </c>
      <c r="AB283" s="63">
        <f t="shared" si="227"/>
        <v>17940</v>
      </c>
      <c r="AC283" s="374">
        <f t="shared" si="192"/>
        <v>555161.7860962572</v>
      </c>
      <c r="AD283" s="141">
        <v>0.0366</v>
      </c>
      <c r="AE283" s="126">
        <f t="shared" si="231"/>
        <v>20318.92137112301</v>
      </c>
      <c r="AF283" s="141"/>
      <c r="AH283" s="147">
        <f t="shared" si="195"/>
        <v>464669.7860962572</v>
      </c>
      <c r="AI283" s="186">
        <f t="shared" si="193"/>
        <v>17006.914171123015</v>
      </c>
      <c r="AJ283" s="187">
        <f t="shared" si="196"/>
        <v>90492</v>
      </c>
      <c r="AK283" s="186">
        <f t="shared" si="194"/>
        <v>3312.0072</v>
      </c>
    </row>
    <row r="284" spans="1:37" s="54" customFormat="1" ht="12.75">
      <c r="A284" s="127">
        <v>39387</v>
      </c>
      <c r="B284" s="116">
        <v>39405</v>
      </c>
      <c r="C284" s="250">
        <v>8100.84</v>
      </c>
      <c r="D284" s="192">
        <f t="shared" si="230"/>
        <v>329.9200000000001</v>
      </c>
      <c r="E284" s="68" t="s">
        <v>68</v>
      </c>
      <c r="F284" s="57">
        <v>75</v>
      </c>
      <c r="G284" s="58">
        <v>32075.99</v>
      </c>
      <c r="H284" s="59">
        <f t="shared" si="232"/>
        <v>1385.640000000003</v>
      </c>
      <c r="I284" s="58"/>
      <c r="J284" s="83"/>
      <c r="K284" s="58">
        <v>103600.73</v>
      </c>
      <c r="L284" s="59">
        <f t="shared" si="228"/>
        <v>2971.7599999999948</v>
      </c>
      <c r="M284" s="67"/>
      <c r="N284" s="83"/>
      <c r="O284" s="58">
        <v>524540</v>
      </c>
      <c r="P284" s="59">
        <f t="shared" si="215"/>
        <v>12800</v>
      </c>
      <c r="Q284" s="58">
        <v>805290</v>
      </c>
      <c r="R284" s="59">
        <f t="shared" si="224"/>
        <v>10100</v>
      </c>
      <c r="S284" s="58">
        <v>1011740</v>
      </c>
      <c r="T284" s="59">
        <f t="shared" si="229"/>
        <v>27920</v>
      </c>
      <c r="U284" s="58">
        <v>217321</v>
      </c>
      <c r="V284" s="59">
        <f t="shared" si="223"/>
        <v>2459</v>
      </c>
      <c r="W284" s="58">
        <v>809010</v>
      </c>
      <c r="X284" s="59">
        <f t="shared" si="225"/>
        <v>20320</v>
      </c>
      <c r="Y284" s="58">
        <v>409720</v>
      </c>
      <c r="Z284" s="59">
        <f t="shared" si="226"/>
        <v>10710</v>
      </c>
      <c r="AA284" s="58">
        <v>1070020</v>
      </c>
      <c r="AB284" s="59">
        <f t="shared" si="227"/>
        <v>23310</v>
      </c>
      <c r="AC284" s="129">
        <f t="shared" si="192"/>
        <v>744292.7967914436</v>
      </c>
      <c r="AD284" s="158">
        <v>0.0366</v>
      </c>
      <c r="AE284" s="126">
        <f t="shared" si="231"/>
        <v>27241.116362566838</v>
      </c>
      <c r="AF284" s="158"/>
      <c r="AH284" s="147">
        <f t="shared" si="195"/>
        <v>636673.7967914436</v>
      </c>
      <c r="AI284" s="186">
        <f t="shared" si="193"/>
        <v>23302.260962566837</v>
      </c>
      <c r="AJ284" s="187">
        <f t="shared" si="196"/>
        <v>107619</v>
      </c>
      <c r="AK284" s="186">
        <f t="shared" si="194"/>
        <v>3938.8554</v>
      </c>
    </row>
    <row r="285" spans="1:37" s="76" customFormat="1" ht="13.5" thickBot="1">
      <c r="A285" s="127">
        <v>39417</v>
      </c>
      <c r="B285" s="116">
        <v>39430</v>
      </c>
      <c r="C285" s="191">
        <v>8330.01</v>
      </c>
      <c r="D285" s="192">
        <f t="shared" si="230"/>
        <v>229.17000000000007</v>
      </c>
      <c r="E285" s="191" t="s">
        <v>68</v>
      </c>
      <c r="F285" s="194">
        <v>50</v>
      </c>
      <c r="G285" s="191">
        <v>32835.4</v>
      </c>
      <c r="H285" s="194">
        <f t="shared" si="232"/>
        <v>759.4099999999999</v>
      </c>
      <c r="I285" s="191"/>
      <c r="J285" s="194"/>
      <c r="K285" s="191">
        <v>105564.45</v>
      </c>
      <c r="L285" s="194">
        <f t="shared" si="228"/>
        <v>1963.7200000000012</v>
      </c>
      <c r="M285" s="193"/>
      <c r="N285" s="194"/>
      <c r="O285" s="191">
        <v>536280</v>
      </c>
      <c r="P285" s="192">
        <f t="shared" si="215"/>
        <v>11740</v>
      </c>
      <c r="Q285" s="191">
        <v>812900</v>
      </c>
      <c r="R285" s="192">
        <f t="shared" si="224"/>
        <v>7610</v>
      </c>
      <c r="S285" s="191">
        <v>1035500</v>
      </c>
      <c r="T285" s="192">
        <f t="shared" si="229"/>
        <v>23760</v>
      </c>
      <c r="U285" s="191">
        <v>215098</v>
      </c>
      <c r="V285" s="192">
        <v>0</v>
      </c>
      <c r="W285" s="191">
        <v>822950</v>
      </c>
      <c r="X285" s="192">
        <f t="shared" si="225"/>
        <v>13940</v>
      </c>
      <c r="Y285" s="191">
        <v>417200</v>
      </c>
      <c r="Z285" s="192">
        <f t="shared" si="226"/>
        <v>7480</v>
      </c>
      <c r="AA285" s="191">
        <v>1086350</v>
      </c>
      <c r="AB285" s="192">
        <f t="shared" si="227"/>
        <v>16330</v>
      </c>
      <c r="AC285" s="275">
        <f t="shared" si="192"/>
        <v>482237.0053475937</v>
      </c>
      <c r="AD285" s="382">
        <v>0.0366</v>
      </c>
      <c r="AE285" s="383">
        <f t="shared" si="231"/>
        <v>17649.87439572193</v>
      </c>
      <c r="AF285" s="278">
        <f>SUM(AE283:AE285)</f>
        <v>65209.91212941178</v>
      </c>
      <c r="AH285" s="256">
        <f t="shared" si="195"/>
        <v>401377.0053475937</v>
      </c>
      <c r="AI285" s="257">
        <f t="shared" si="193"/>
        <v>14690.39839572193</v>
      </c>
      <c r="AJ285" s="258">
        <f t="shared" si="196"/>
        <v>80860</v>
      </c>
      <c r="AK285" s="257">
        <f t="shared" si="194"/>
        <v>2959.476</v>
      </c>
    </row>
    <row r="286" spans="1:37" s="54" customFormat="1" ht="12.75">
      <c r="A286" s="121">
        <v>39448</v>
      </c>
      <c r="B286" s="116">
        <v>39461</v>
      </c>
      <c r="C286" s="263">
        <v>8408.91</v>
      </c>
      <c r="D286" s="264">
        <f t="shared" si="230"/>
        <v>78.89999999999964</v>
      </c>
      <c r="E286" s="171" t="s">
        <v>68</v>
      </c>
      <c r="F286" s="57">
        <v>75</v>
      </c>
      <c r="G286" s="66">
        <v>32858.05</v>
      </c>
      <c r="H286" s="63">
        <f t="shared" si="232"/>
        <v>22.650000000001455</v>
      </c>
      <c r="I286" s="58"/>
      <c r="J286" s="63"/>
      <c r="K286" s="66">
        <v>107134.28</v>
      </c>
      <c r="L286" s="63">
        <f t="shared" si="228"/>
        <v>1569.8300000000017</v>
      </c>
      <c r="M286" s="58"/>
      <c r="N286" s="63"/>
      <c r="O286" s="66">
        <v>541740</v>
      </c>
      <c r="P286" s="63">
        <f t="shared" si="215"/>
        <v>5460</v>
      </c>
      <c r="Q286" s="66">
        <v>817300</v>
      </c>
      <c r="R286" s="63">
        <f t="shared" si="224"/>
        <v>4400</v>
      </c>
      <c r="S286" s="66">
        <v>1047010</v>
      </c>
      <c r="T286" s="63">
        <f t="shared" si="229"/>
        <v>11510</v>
      </c>
      <c r="U286" s="66">
        <v>215158</v>
      </c>
      <c r="V286" s="63">
        <f t="shared" si="223"/>
        <v>60</v>
      </c>
      <c r="W286" s="66">
        <v>832770</v>
      </c>
      <c r="X286" s="63">
        <f t="shared" si="225"/>
        <v>9820</v>
      </c>
      <c r="Y286" s="66">
        <v>423360</v>
      </c>
      <c r="Z286" s="63">
        <f t="shared" si="226"/>
        <v>6160</v>
      </c>
      <c r="AA286" s="66">
        <v>1096300</v>
      </c>
      <c r="AB286" s="63">
        <f t="shared" si="227"/>
        <v>9950</v>
      </c>
      <c r="AC286" s="129">
        <f t="shared" si="192"/>
        <v>280833.2620320859</v>
      </c>
      <c r="AD286" s="141">
        <v>0.0366</v>
      </c>
      <c r="AE286" s="375">
        <f t="shared" si="231"/>
        <v>10278.497390374345</v>
      </c>
      <c r="AF286" s="141"/>
      <c r="AH286" s="147">
        <f t="shared" si="195"/>
        <v>233473.2620320859</v>
      </c>
      <c r="AI286" s="186">
        <f t="shared" si="193"/>
        <v>8545.121390374345</v>
      </c>
      <c r="AJ286" s="187">
        <f t="shared" si="196"/>
        <v>47360</v>
      </c>
      <c r="AK286" s="186">
        <f t="shared" si="194"/>
        <v>1733.376</v>
      </c>
    </row>
    <row r="287" spans="1:37" s="54" customFormat="1" ht="12.75">
      <c r="A287" s="127">
        <v>39479</v>
      </c>
      <c r="B287" s="116">
        <v>39492</v>
      </c>
      <c r="C287" s="250">
        <v>8800.81</v>
      </c>
      <c r="D287" s="192">
        <f t="shared" si="230"/>
        <v>391.89999999999964</v>
      </c>
      <c r="E287" s="171" t="s">
        <v>68</v>
      </c>
      <c r="F287" s="57">
        <v>75</v>
      </c>
      <c r="G287" s="58">
        <v>34801.58</v>
      </c>
      <c r="H287" s="59">
        <f t="shared" si="232"/>
        <v>1943.5299999999988</v>
      </c>
      <c r="I287" s="58"/>
      <c r="J287" s="83"/>
      <c r="K287" s="58">
        <v>109639.12</v>
      </c>
      <c r="L287" s="59">
        <f t="shared" si="228"/>
        <v>2504.8399999999965</v>
      </c>
      <c r="M287" s="58"/>
      <c r="N287" s="83"/>
      <c r="O287" s="58">
        <v>552800</v>
      </c>
      <c r="P287" s="59">
        <f t="shared" si="215"/>
        <v>11060</v>
      </c>
      <c r="Q287" s="58">
        <v>826420</v>
      </c>
      <c r="R287" s="59">
        <f t="shared" si="224"/>
        <v>9120</v>
      </c>
      <c r="S287" s="58">
        <v>1067300</v>
      </c>
      <c r="T287" s="59">
        <f t="shared" si="229"/>
        <v>20290</v>
      </c>
      <c r="U287" s="68">
        <f>U286+(U288-U286)/2</f>
        <v>215263.5</v>
      </c>
      <c r="V287" s="59">
        <f t="shared" si="223"/>
        <v>105.5</v>
      </c>
      <c r="W287" s="58">
        <v>849080</v>
      </c>
      <c r="X287" s="59">
        <f t="shared" si="225"/>
        <v>16310</v>
      </c>
      <c r="Y287" s="58">
        <v>432660</v>
      </c>
      <c r="Z287" s="59">
        <f t="shared" si="226"/>
        <v>9300</v>
      </c>
      <c r="AA287" s="58">
        <v>1102600</v>
      </c>
      <c r="AB287" s="59">
        <f t="shared" si="227"/>
        <v>6300</v>
      </c>
      <c r="AC287" s="129">
        <f t="shared" si="192"/>
        <v>729607.15775401</v>
      </c>
      <c r="AD287" s="158">
        <v>0.0366</v>
      </c>
      <c r="AE287" s="126">
        <f t="shared" si="231"/>
        <v>26703.62197379677</v>
      </c>
      <c r="AF287" s="158"/>
      <c r="AH287" s="147">
        <f t="shared" si="195"/>
        <v>657121.65775401</v>
      </c>
      <c r="AI287" s="186">
        <f t="shared" si="193"/>
        <v>24050.65267379677</v>
      </c>
      <c r="AJ287" s="187">
        <f t="shared" si="196"/>
        <v>72485.5</v>
      </c>
      <c r="AK287" s="186">
        <f t="shared" si="194"/>
        <v>2652.9693</v>
      </c>
    </row>
    <row r="288" spans="1:37" s="54" customFormat="1" ht="13.5" thickBot="1">
      <c r="A288" s="127">
        <v>39508</v>
      </c>
      <c r="B288" s="116">
        <v>39524</v>
      </c>
      <c r="C288" s="191">
        <v>9182</v>
      </c>
      <c r="D288" s="192">
        <f t="shared" si="230"/>
        <v>381.1900000000005</v>
      </c>
      <c r="E288" s="172" t="s">
        <v>68</v>
      </c>
      <c r="F288" s="61">
        <v>75</v>
      </c>
      <c r="G288" s="60">
        <v>35555</v>
      </c>
      <c r="H288" s="70">
        <f t="shared" si="232"/>
        <v>753.4199999999983</v>
      </c>
      <c r="I288" s="60"/>
      <c r="J288" s="70"/>
      <c r="K288" s="60">
        <v>111884.4</v>
      </c>
      <c r="L288" s="70">
        <f t="shared" si="228"/>
        <v>2245.279999999999</v>
      </c>
      <c r="M288" s="60"/>
      <c r="N288" s="70"/>
      <c r="O288" s="60">
        <v>562270</v>
      </c>
      <c r="P288" s="59">
        <f t="shared" si="215"/>
        <v>9470</v>
      </c>
      <c r="Q288" s="60">
        <v>835340</v>
      </c>
      <c r="R288" s="59">
        <f t="shared" si="224"/>
        <v>8920</v>
      </c>
      <c r="S288" s="60">
        <v>1086090</v>
      </c>
      <c r="T288" s="59">
        <f t="shared" si="229"/>
        <v>18790</v>
      </c>
      <c r="U288" s="60">
        <v>215369</v>
      </c>
      <c r="V288" s="147">
        <f t="shared" si="223"/>
        <v>105.5</v>
      </c>
      <c r="W288" s="60">
        <v>865250</v>
      </c>
      <c r="X288" s="59">
        <f t="shared" si="225"/>
        <v>16170</v>
      </c>
      <c r="Y288" s="60">
        <v>442470</v>
      </c>
      <c r="Z288" s="59">
        <f t="shared" si="226"/>
        <v>9810</v>
      </c>
      <c r="AA288" s="60">
        <v>1185940</v>
      </c>
      <c r="AB288" s="59">
        <f t="shared" si="227"/>
        <v>83340</v>
      </c>
      <c r="AC288" s="283">
        <f t="shared" si="192"/>
        <v>608489.1898395718</v>
      </c>
      <c r="AD288" s="139">
        <v>0.0366</v>
      </c>
      <c r="AE288" s="170">
        <f t="shared" si="231"/>
        <v>22270.70434812833</v>
      </c>
      <c r="AF288" s="137">
        <f>SUM(AE286:AE288)</f>
        <v>59252.82371229945</v>
      </c>
      <c r="AH288" s="147">
        <f t="shared" si="195"/>
        <v>461883.68983957183</v>
      </c>
      <c r="AI288" s="186">
        <f t="shared" si="193"/>
        <v>16904.94304812833</v>
      </c>
      <c r="AJ288" s="187">
        <f t="shared" si="196"/>
        <v>146605.5</v>
      </c>
      <c r="AK288" s="186">
        <f t="shared" si="194"/>
        <v>5365.7613</v>
      </c>
    </row>
    <row r="289" spans="1:37" s="54" customFormat="1" ht="12.75">
      <c r="A289" s="127">
        <v>39539</v>
      </c>
      <c r="B289" s="116">
        <v>39553</v>
      </c>
      <c r="C289" s="62">
        <v>9507</v>
      </c>
      <c r="D289" s="63">
        <f t="shared" si="230"/>
        <v>325</v>
      </c>
      <c r="E289" s="171" t="s">
        <v>68</v>
      </c>
      <c r="F289" s="57">
        <v>50</v>
      </c>
      <c r="G289" s="58">
        <v>36245.42</v>
      </c>
      <c r="H289" s="63">
        <f t="shared" si="232"/>
        <v>690.4199999999983</v>
      </c>
      <c r="I289" s="58"/>
      <c r="J289" s="63"/>
      <c r="K289" s="58">
        <v>114134.86</v>
      </c>
      <c r="L289" s="63">
        <f t="shared" si="228"/>
        <v>2250.4600000000064</v>
      </c>
      <c r="M289" s="58"/>
      <c r="N289" s="63"/>
      <c r="O289" s="58">
        <v>572400</v>
      </c>
      <c r="P289" s="63">
        <f t="shared" si="215"/>
        <v>10130</v>
      </c>
      <c r="Q289" s="58">
        <v>842890</v>
      </c>
      <c r="R289" s="63">
        <f t="shared" si="224"/>
        <v>7550</v>
      </c>
      <c r="S289" s="196">
        <v>1103050</v>
      </c>
      <c r="T289" s="197">
        <f t="shared" si="229"/>
        <v>16960</v>
      </c>
      <c r="U289" s="68">
        <f>U288+(U290-U288)/2</f>
        <v>216615</v>
      </c>
      <c r="V289" s="63">
        <f t="shared" si="223"/>
        <v>1246</v>
      </c>
      <c r="W289" s="58">
        <v>880760</v>
      </c>
      <c r="X289" s="63">
        <f t="shared" si="225"/>
        <v>15510</v>
      </c>
      <c r="Y289" s="58">
        <v>456680</v>
      </c>
      <c r="Z289" s="63">
        <f t="shared" si="226"/>
        <v>14210</v>
      </c>
      <c r="AA289" s="196">
        <v>1152540</v>
      </c>
      <c r="AB289" s="197">
        <f t="shared" si="227"/>
        <v>-33400</v>
      </c>
      <c r="AC289" s="129">
        <f t="shared" si="192"/>
        <v>475505.4652406423</v>
      </c>
      <c r="AD289" s="141">
        <v>0.0366</v>
      </c>
      <c r="AE289" s="375">
        <f t="shared" si="231"/>
        <v>17403.50002780751</v>
      </c>
      <c r="AF289" s="141"/>
      <c r="AH289" s="147">
        <f t="shared" si="195"/>
        <v>443299.4652406423</v>
      </c>
      <c r="AI289" s="186">
        <f t="shared" si="193"/>
        <v>16224.760427807509</v>
      </c>
      <c r="AJ289" s="187">
        <f t="shared" si="196"/>
        <v>32206</v>
      </c>
      <c r="AK289" s="186">
        <f t="shared" si="194"/>
        <v>1178.7396</v>
      </c>
    </row>
    <row r="290" spans="1:37" s="54" customFormat="1" ht="12.75">
      <c r="A290" s="127">
        <v>39569</v>
      </c>
      <c r="B290" s="116">
        <v>39583</v>
      </c>
      <c r="C290" s="250">
        <v>9637</v>
      </c>
      <c r="D290" s="192">
        <f t="shared" si="230"/>
        <v>130</v>
      </c>
      <c r="E290" s="171" t="s">
        <v>68</v>
      </c>
      <c r="F290" s="57">
        <v>10</v>
      </c>
      <c r="G290" s="58">
        <v>36508.29</v>
      </c>
      <c r="H290" s="59">
        <f t="shared" si="232"/>
        <v>262.8700000000026</v>
      </c>
      <c r="I290" s="58"/>
      <c r="J290" s="83"/>
      <c r="K290" s="58">
        <v>115829.74</v>
      </c>
      <c r="L290" s="59">
        <f t="shared" si="228"/>
        <v>1694.8800000000047</v>
      </c>
      <c r="M290" s="58"/>
      <c r="N290" s="83"/>
      <c r="O290" s="58">
        <v>577830</v>
      </c>
      <c r="P290" s="59">
        <f t="shared" si="215"/>
        <v>5430</v>
      </c>
      <c r="Q290" s="58">
        <v>849290</v>
      </c>
      <c r="R290" s="59">
        <f t="shared" si="224"/>
        <v>6400</v>
      </c>
      <c r="S290" s="196">
        <v>1109080</v>
      </c>
      <c r="T290" s="198">
        <f t="shared" si="229"/>
        <v>6030</v>
      </c>
      <c r="U290" s="58">
        <v>217861</v>
      </c>
      <c r="V290" s="59">
        <f t="shared" si="223"/>
        <v>1246</v>
      </c>
      <c r="W290" s="58">
        <v>890680</v>
      </c>
      <c r="X290" s="59">
        <f t="shared" si="225"/>
        <v>9920</v>
      </c>
      <c r="Y290" s="58">
        <v>457720</v>
      </c>
      <c r="Z290" s="59">
        <f t="shared" si="226"/>
        <v>1040</v>
      </c>
      <c r="AA290" s="196">
        <v>1161140</v>
      </c>
      <c r="AB290" s="198">
        <f t="shared" si="227"/>
        <v>8600</v>
      </c>
      <c r="AC290" s="129">
        <f t="shared" si="192"/>
        <v>319113.86096256785</v>
      </c>
      <c r="AD290" s="158">
        <v>0.0366</v>
      </c>
      <c r="AE290" s="126">
        <f t="shared" si="231"/>
        <v>11679.567311229983</v>
      </c>
      <c r="AF290" s="158"/>
      <c r="AH290" s="147">
        <f t="shared" si="195"/>
        <v>280447.86096256785</v>
      </c>
      <c r="AI290" s="186">
        <f t="shared" si="193"/>
        <v>10264.391711229984</v>
      </c>
      <c r="AJ290" s="187">
        <f t="shared" si="196"/>
        <v>38666</v>
      </c>
      <c r="AK290" s="186">
        <f t="shared" si="194"/>
        <v>1415.1756</v>
      </c>
    </row>
    <row r="291" spans="1:37" s="54" customFormat="1" ht="13.5" thickBot="1">
      <c r="A291" s="127">
        <v>39600</v>
      </c>
      <c r="B291" s="178">
        <v>39615</v>
      </c>
      <c r="C291" s="191">
        <v>9675.6</v>
      </c>
      <c r="D291" s="194">
        <f t="shared" si="230"/>
        <v>38.600000000000364</v>
      </c>
      <c r="E291" s="172" t="s">
        <v>68</v>
      </c>
      <c r="F291" s="61">
        <v>5</v>
      </c>
      <c r="G291" s="60">
        <v>36880.24</v>
      </c>
      <c r="H291" s="70">
        <f t="shared" si="232"/>
        <v>371.9499999999971</v>
      </c>
      <c r="I291" s="69"/>
      <c r="J291" s="70"/>
      <c r="K291" s="60">
        <v>117674.74</v>
      </c>
      <c r="L291" s="70">
        <f t="shared" si="228"/>
        <v>1845</v>
      </c>
      <c r="M291" s="69"/>
      <c r="N291" s="70"/>
      <c r="O291" s="60">
        <v>584630</v>
      </c>
      <c r="P291" s="70">
        <f t="shared" si="215"/>
        <v>6800</v>
      </c>
      <c r="Q291" s="60">
        <v>872110</v>
      </c>
      <c r="R291" s="70">
        <f t="shared" si="224"/>
        <v>22820</v>
      </c>
      <c r="S291" s="384">
        <v>1128180</v>
      </c>
      <c r="T291" s="385">
        <f t="shared" si="229"/>
        <v>19100</v>
      </c>
      <c r="U291" s="60">
        <v>226582</v>
      </c>
      <c r="V291" s="70">
        <f aca="true" t="shared" si="233" ref="V291:V321">U291-U290</f>
        <v>8721</v>
      </c>
      <c r="W291" s="60">
        <v>896020</v>
      </c>
      <c r="X291" s="70">
        <f aca="true" t="shared" si="234" ref="X291:X321">W291-W290</f>
        <v>5340</v>
      </c>
      <c r="Y291" s="60">
        <v>463060</v>
      </c>
      <c r="Z291" s="70">
        <f t="shared" si="226"/>
        <v>5340</v>
      </c>
      <c r="AA291" s="384">
        <v>1167330</v>
      </c>
      <c r="AB291" s="385">
        <f t="shared" si="227"/>
        <v>6190</v>
      </c>
      <c r="AC291" s="283">
        <f t="shared" si="192"/>
        <v>376523.56684491946</v>
      </c>
      <c r="AD291" s="139">
        <v>0.0366</v>
      </c>
      <c r="AE291" s="170">
        <f t="shared" si="231"/>
        <v>13780.762546524053</v>
      </c>
      <c r="AF291" s="137">
        <f>SUM(AE289:AE291)</f>
        <v>42863.82988556154</v>
      </c>
      <c r="AH291" s="147">
        <f t="shared" si="195"/>
        <v>302212.56684491946</v>
      </c>
      <c r="AI291" s="186">
        <f t="shared" si="193"/>
        <v>11060.979946524052</v>
      </c>
      <c r="AJ291" s="187">
        <f t="shared" si="196"/>
        <v>74311</v>
      </c>
      <c r="AK291" s="186">
        <f t="shared" si="194"/>
        <v>2719.7826</v>
      </c>
    </row>
    <row r="292" spans="1:37" s="487" customFormat="1" ht="12.75">
      <c r="A292" s="484">
        <v>39630</v>
      </c>
      <c r="B292" s="178">
        <v>39646</v>
      </c>
      <c r="C292" s="263">
        <v>9735.18</v>
      </c>
      <c r="D292" s="485">
        <f t="shared" si="230"/>
        <v>59.57999999999993</v>
      </c>
      <c r="E292" s="250" t="s">
        <v>68</v>
      </c>
      <c r="F292" s="168">
        <v>50</v>
      </c>
      <c r="G292" s="58">
        <v>37285.64</v>
      </c>
      <c r="H292" s="486">
        <f t="shared" si="232"/>
        <v>405.40000000000146</v>
      </c>
      <c r="I292" s="58"/>
      <c r="J292" s="486"/>
      <c r="K292" s="58">
        <v>118587.54</v>
      </c>
      <c r="L292" s="486">
        <f t="shared" si="228"/>
        <v>912.7999999999884</v>
      </c>
      <c r="M292" s="58"/>
      <c r="N292" s="486"/>
      <c r="O292" s="66">
        <v>612800</v>
      </c>
      <c r="P292" s="486">
        <f t="shared" si="215"/>
        <v>28170</v>
      </c>
      <c r="Q292" s="66">
        <v>890660</v>
      </c>
      <c r="R292" s="486">
        <f aca="true" t="shared" si="235" ref="R292:R321">Q292-Q291</f>
        <v>18550</v>
      </c>
      <c r="S292" s="66">
        <v>1136820</v>
      </c>
      <c r="T292" s="486">
        <f aca="true" t="shared" si="236" ref="T292:T321">S292-S291</f>
        <v>8640</v>
      </c>
      <c r="U292" s="66">
        <v>232456</v>
      </c>
      <c r="V292" s="486">
        <f t="shared" si="233"/>
        <v>5874</v>
      </c>
      <c r="W292" s="66">
        <v>903660</v>
      </c>
      <c r="X292" s="486">
        <f t="shared" si="234"/>
        <v>7640</v>
      </c>
      <c r="Y292" s="66">
        <v>467570</v>
      </c>
      <c r="Z292" s="486">
        <f aca="true" t="shared" si="237" ref="Z292:Z321">Y292-Y291</f>
        <v>4510</v>
      </c>
      <c r="AA292" s="66">
        <v>1172490</v>
      </c>
      <c r="AB292" s="486">
        <f aca="true" t="shared" si="238" ref="AB292:AB321">AA292-AA291</f>
        <v>5160</v>
      </c>
      <c r="AC292" s="140">
        <f aca="true" t="shared" si="239" ref="AC292:AC303">(D292+F292+H292+L292)*1000/7.48+P292+R292+T292+V292+X292+Z292+AB292</f>
        <v>269423.67914438364</v>
      </c>
      <c r="AD292" s="141">
        <v>0.039700000000000006</v>
      </c>
      <c r="AE292" s="142">
        <f aca="true" t="shared" si="240" ref="AE292:AE303">AC292*AD292</f>
        <v>10696.120062032032</v>
      </c>
      <c r="AF292" s="132"/>
      <c r="AH292" s="174">
        <f aca="true" t="shared" si="241" ref="AH292:AH303">(D292+F292+H292+L292)*1000/7.48</f>
        <v>190879.67914438364</v>
      </c>
      <c r="AI292" s="488">
        <f aca="true" t="shared" si="242" ref="AI292:AI303">AH292*AD292</f>
        <v>7577.923262032032</v>
      </c>
      <c r="AJ292" s="489">
        <f aca="true" t="shared" si="243" ref="AJ292:AJ303">P292+R292+T292+V292+X292+Z292+AB292</f>
        <v>78544</v>
      </c>
      <c r="AK292" s="488">
        <f aca="true" t="shared" si="244" ref="AK292:AK303">AJ292*AD292</f>
        <v>3118.1968000000006</v>
      </c>
    </row>
    <row r="293" spans="1:37" s="487" customFormat="1" ht="12.75">
      <c r="A293" s="484">
        <v>39661</v>
      </c>
      <c r="B293" s="178">
        <v>39675</v>
      </c>
      <c r="C293" s="250">
        <v>9788.61</v>
      </c>
      <c r="D293" s="320">
        <f t="shared" si="230"/>
        <v>53.43000000000029</v>
      </c>
      <c r="E293" s="250" t="s">
        <v>68</v>
      </c>
      <c r="F293" s="168">
        <v>50</v>
      </c>
      <c r="G293" s="58">
        <v>37905.34</v>
      </c>
      <c r="H293" s="83">
        <f t="shared" si="232"/>
        <v>619.6999999999971</v>
      </c>
      <c r="I293" s="58"/>
      <c r="J293" s="83"/>
      <c r="K293" s="58">
        <v>120111.11</v>
      </c>
      <c r="L293" s="83">
        <f t="shared" si="228"/>
        <v>1523.570000000007</v>
      </c>
      <c r="M293" s="58"/>
      <c r="N293" s="83"/>
      <c r="O293" s="68">
        <f>(O294-O292)/2+O292</f>
        <v>622055</v>
      </c>
      <c r="P293" s="168">
        <f t="shared" si="215"/>
        <v>9255</v>
      </c>
      <c r="Q293" s="58">
        <v>915050</v>
      </c>
      <c r="R293" s="83">
        <f t="shared" si="235"/>
        <v>24390</v>
      </c>
      <c r="S293" s="58">
        <v>1144760</v>
      </c>
      <c r="T293" s="83">
        <f t="shared" si="236"/>
        <v>7940</v>
      </c>
      <c r="U293" s="58">
        <v>245781</v>
      </c>
      <c r="V293" s="83">
        <f t="shared" si="233"/>
        <v>13325</v>
      </c>
      <c r="W293" s="58">
        <v>916460</v>
      </c>
      <c r="X293" s="83">
        <f t="shared" si="234"/>
        <v>12800</v>
      </c>
      <c r="Y293" s="58">
        <v>475640</v>
      </c>
      <c r="Z293" s="83">
        <f t="shared" si="237"/>
        <v>8070</v>
      </c>
      <c r="AA293" s="58">
        <v>1176960</v>
      </c>
      <c r="AB293" s="83">
        <f t="shared" si="238"/>
        <v>4470</v>
      </c>
      <c r="AC293" s="140">
        <f t="shared" si="239"/>
        <v>380610.96256684547</v>
      </c>
      <c r="AD293" s="158">
        <v>0.039700000000000006</v>
      </c>
      <c r="AE293" s="157">
        <f t="shared" si="240"/>
        <v>15110.255213903767</v>
      </c>
      <c r="AF293" s="133"/>
      <c r="AH293" s="174">
        <f t="shared" si="241"/>
        <v>300360.96256684547</v>
      </c>
      <c r="AI293" s="488">
        <f t="shared" si="242"/>
        <v>11924.330213903768</v>
      </c>
      <c r="AJ293" s="489">
        <f t="shared" si="243"/>
        <v>80250</v>
      </c>
      <c r="AK293" s="488">
        <f t="shared" si="244"/>
        <v>3185.9250000000006</v>
      </c>
    </row>
    <row r="294" spans="1:37" s="487" customFormat="1" ht="13.5" thickBot="1">
      <c r="A294" s="484">
        <v>39692</v>
      </c>
      <c r="B294" s="178">
        <v>39706</v>
      </c>
      <c r="C294" s="191">
        <v>9979.75</v>
      </c>
      <c r="D294" s="321">
        <f t="shared" si="230"/>
        <v>191.13999999999942</v>
      </c>
      <c r="E294" s="191" t="s">
        <v>68</v>
      </c>
      <c r="F294" s="490">
        <v>50</v>
      </c>
      <c r="G294" s="193" t="s">
        <v>133</v>
      </c>
      <c r="H294" s="490">
        <f>H295</f>
        <v>651.8050000000003</v>
      </c>
      <c r="I294" s="60"/>
      <c r="J294" s="491"/>
      <c r="K294" s="60">
        <v>122073.38</v>
      </c>
      <c r="L294" s="491">
        <f t="shared" si="228"/>
        <v>1962.270000000004</v>
      </c>
      <c r="M294" s="60"/>
      <c r="N294" s="491"/>
      <c r="O294" s="60">
        <v>631310</v>
      </c>
      <c r="P294" s="491">
        <f t="shared" si="215"/>
        <v>9255</v>
      </c>
      <c r="Q294" s="60">
        <v>933450</v>
      </c>
      <c r="R294" s="491">
        <f t="shared" si="235"/>
        <v>18400</v>
      </c>
      <c r="S294" s="60">
        <v>1161800</v>
      </c>
      <c r="T294" s="491">
        <f t="shared" si="236"/>
        <v>17040</v>
      </c>
      <c r="U294" s="60">
        <v>254949</v>
      </c>
      <c r="V294" s="491">
        <f t="shared" si="233"/>
        <v>9168</v>
      </c>
      <c r="W294" s="60">
        <v>927130</v>
      </c>
      <c r="X294" s="491">
        <f t="shared" si="234"/>
        <v>10670</v>
      </c>
      <c r="Y294" s="60">
        <v>484210</v>
      </c>
      <c r="Z294" s="491">
        <f t="shared" si="237"/>
        <v>8570</v>
      </c>
      <c r="AA294" s="60">
        <v>1192100</v>
      </c>
      <c r="AB294" s="491">
        <f t="shared" si="238"/>
        <v>15140</v>
      </c>
      <c r="AC294" s="134">
        <f t="shared" si="239"/>
        <v>469956.2352941181</v>
      </c>
      <c r="AD294" s="139">
        <v>0.039700000000000006</v>
      </c>
      <c r="AE294" s="136">
        <f t="shared" si="240"/>
        <v>18657.262541176493</v>
      </c>
      <c r="AF294" s="137">
        <f>SUM(AE292:AE294)</f>
        <v>44463.63781711229</v>
      </c>
      <c r="AH294" s="174">
        <f t="shared" si="241"/>
        <v>381713.2352941181</v>
      </c>
      <c r="AI294" s="488">
        <f t="shared" si="242"/>
        <v>15154.01544117649</v>
      </c>
      <c r="AJ294" s="489">
        <f t="shared" si="243"/>
        <v>88243</v>
      </c>
      <c r="AK294" s="488">
        <f t="shared" si="244"/>
        <v>3503.2471000000005</v>
      </c>
    </row>
    <row r="295" spans="1:37" s="487" customFormat="1" ht="12.75">
      <c r="A295" s="484">
        <v>39722</v>
      </c>
      <c r="B295" s="178">
        <v>39736</v>
      </c>
      <c r="C295" s="263">
        <v>10358.5</v>
      </c>
      <c r="D295" s="485">
        <f t="shared" si="230"/>
        <v>378.75</v>
      </c>
      <c r="E295" s="436" t="s">
        <v>68</v>
      </c>
      <c r="F295" s="493">
        <v>75</v>
      </c>
      <c r="G295" s="263" t="s">
        <v>133</v>
      </c>
      <c r="H295" s="493">
        <f>H296</f>
        <v>651.8050000000003</v>
      </c>
      <c r="I295" s="66"/>
      <c r="J295" s="486"/>
      <c r="K295" s="66">
        <v>124653.79</v>
      </c>
      <c r="L295" s="486">
        <f t="shared" si="228"/>
        <v>2580.409999999989</v>
      </c>
      <c r="M295" s="67"/>
      <c r="N295" s="486"/>
      <c r="O295" s="66">
        <v>644510</v>
      </c>
      <c r="P295" s="486">
        <f t="shared" si="215"/>
        <v>13200</v>
      </c>
      <c r="Q295" s="66">
        <v>944460</v>
      </c>
      <c r="R295" s="486">
        <f t="shared" si="235"/>
        <v>11010</v>
      </c>
      <c r="S295" s="66">
        <v>1190150</v>
      </c>
      <c r="T295" s="486">
        <f t="shared" si="236"/>
        <v>28350</v>
      </c>
      <c r="U295" s="66">
        <v>255083</v>
      </c>
      <c r="V295" s="486">
        <f t="shared" si="233"/>
        <v>134</v>
      </c>
      <c r="W295" s="66">
        <v>944830</v>
      </c>
      <c r="X295" s="486">
        <f t="shared" si="234"/>
        <v>17700</v>
      </c>
      <c r="Y295" s="66">
        <v>495290</v>
      </c>
      <c r="Z295" s="486">
        <f t="shared" si="237"/>
        <v>11080</v>
      </c>
      <c r="AA295" s="66">
        <v>1215190</v>
      </c>
      <c r="AB295" s="486">
        <f t="shared" si="238"/>
        <v>23090</v>
      </c>
      <c r="AC295" s="374">
        <f t="shared" si="239"/>
        <v>597340.0695187151</v>
      </c>
      <c r="AD295" s="141">
        <v>0.039700000000000006</v>
      </c>
      <c r="AE295" s="126">
        <f t="shared" si="240"/>
        <v>23714.400759892997</v>
      </c>
      <c r="AF295" s="141"/>
      <c r="AH295" s="174">
        <f t="shared" si="241"/>
        <v>492776.06951871514</v>
      </c>
      <c r="AI295" s="488">
        <f t="shared" si="242"/>
        <v>19563.209959892993</v>
      </c>
      <c r="AJ295" s="489">
        <f t="shared" si="243"/>
        <v>104564</v>
      </c>
      <c r="AK295" s="488">
        <f t="shared" si="244"/>
        <v>4151.1908</v>
      </c>
    </row>
    <row r="296" spans="1:37" s="487" customFormat="1" ht="12.75">
      <c r="A296" s="484">
        <v>39753</v>
      </c>
      <c r="B296" s="178">
        <v>39770</v>
      </c>
      <c r="C296" s="250">
        <v>10787.8</v>
      </c>
      <c r="D296" s="320">
        <f t="shared" si="230"/>
        <v>429.2999999999993</v>
      </c>
      <c r="E296" s="171" t="s">
        <v>68</v>
      </c>
      <c r="F296" s="168">
        <v>75</v>
      </c>
      <c r="G296" s="250" t="s">
        <v>133</v>
      </c>
      <c r="H296" s="168">
        <f>H297</f>
        <v>651.8050000000003</v>
      </c>
      <c r="I296" s="58"/>
      <c r="J296" s="83"/>
      <c r="K296" s="58">
        <v>127491.9</v>
      </c>
      <c r="L296" s="83">
        <f t="shared" si="228"/>
        <v>2838.1100000000006</v>
      </c>
      <c r="M296" s="67"/>
      <c r="N296" s="83"/>
      <c r="O296" s="58">
        <v>656840</v>
      </c>
      <c r="P296" s="83">
        <f t="shared" si="215"/>
        <v>12330</v>
      </c>
      <c r="Q296" s="58">
        <v>959990</v>
      </c>
      <c r="R296" s="83">
        <f t="shared" si="235"/>
        <v>15530</v>
      </c>
      <c r="S296" s="58">
        <v>1217930</v>
      </c>
      <c r="T296" s="83">
        <f t="shared" si="236"/>
        <v>27780</v>
      </c>
      <c r="U296" s="58">
        <v>255247</v>
      </c>
      <c r="V296" s="83">
        <f t="shared" si="233"/>
        <v>164</v>
      </c>
      <c r="W296" s="58">
        <v>963640</v>
      </c>
      <c r="X296" s="83">
        <f t="shared" si="234"/>
        <v>18810</v>
      </c>
      <c r="Y296" s="58">
        <v>505580</v>
      </c>
      <c r="Z296" s="83">
        <f t="shared" si="237"/>
        <v>10290</v>
      </c>
      <c r="AA296" s="58">
        <v>1239520</v>
      </c>
      <c r="AB296" s="83">
        <f t="shared" si="238"/>
        <v>24330</v>
      </c>
      <c r="AC296" s="83">
        <f t="shared" si="239"/>
        <v>643219.9625668449</v>
      </c>
      <c r="AD296" s="158">
        <v>0.039700000000000006</v>
      </c>
      <c r="AE296" s="126">
        <f t="shared" si="240"/>
        <v>25535.832513903744</v>
      </c>
      <c r="AF296" s="158"/>
      <c r="AH296" s="174">
        <f t="shared" si="241"/>
        <v>533985.9625668449</v>
      </c>
      <c r="AI296" s="488">
        <f t="shared" si="242"/>
        <v>21199.242713903746</v>
      </c>
      <c r="AJ296" s="489">
        <f t="shared" si="243"/>
        <v>109234</v>
      </c>
      <c r="AK296" s="488">
        <f t="shared" si="244"/>
        <v>4336.589800000001</v>
      </c>
    </row>
    <row r="297" spans="1:37" s="353" customFormat="1" ht="13.5" thickBot="1">
      <c r="A297" s="484">
        <v>39783</v>
      </c>
      <c r="B297" s="394">
        <v>39797</v>
      </c>
      <c r="C297" s="191">
        <v>11080.33</v>
      </c>
      <c r="D297" s="321">
        <f t="shared" si="230"/>
        <v>292.53000000000065</v>
      </c>
      <c r="E297" s="193" t="s">
        <v>68</v>
      </c>
      <c r="F297" s="321">
        <v>50</v>
      </c>
      <c r="G297" s="193">
        <v>40512.56</v>
      </c>
      <c r="H297" s="490">
        <f>(G297-G293)/4</f>
        <v>651.8050000000003</v>
      </c>
      <c r="I297" s="191"/>
      <c r="J297" s="321"/>
      <c r="K297" s="191">
        <v>129443.84</v>
      </c>
      <c r="L297" s="491">
        <f t="shared" si="228"/>
        <v>1951.9400000000023</v>
      </c>
      <c r="M297" s="193"/>
      <c r="N297" s="321"/>
      <c r="O297" s="60">
        <v>669130</v>
      </c>
      <c r="P297" s="491">
        <f t="shared" si="215"/>
        <v>12290</v>
      </c>
      <c r="Q297" s="60">
        <v>971760</v>
      </c>
      <c r="R297" s="491">
        <f t="shared" si="235"/>
        <v>11770</v>
      </c>
      <c r="S297" s="60">
        <v>1239090</v>
      </c>
      <c r="T297" s="491">
        <f t="shared" si="236"/>
        <v>21160</v>
      </c>
      <c r="U297" s="60">
        <v>255602</v>
      </c>
      <c r="V297" s="491">
        <f t="shared" si="233"/>
        <v>355</v>
      </c>
      <c r="W297" s="60">
        <v>976790</v>
      </c>
      <c r="X297" s="491">
        <f t="shared" si="234"/>
        <v>13150</v>
      </c>
      <c r="Y297" s="60">
        <v>513120</v>
      </c>
      <c r="Z297" s="491">
        <f t="shared" si="237"/>
        <v>7540</v>
      </c>
      <c r="AA297" s="60">
        <v>1257220</v>
      </c>
      <c r="AB297" s="491">
        <f t="shared" si="238"/>
        <v>17700</v>
      </c>
      <c r="AC297" s="275">
        <f t="shared" si="239"/>
        <v>477852.0320855619</v>
      </c>
      <c r="AD297" s="382">
        <v>0.039700000000000006</v>
      </c>
      <c r="AE297" s="383">
        <f t="shared" si="240"/>
        <v>18970.72567379681</v>
      </c>
      <c r="AF297" s="278">
        <f>SUM(AE295:AE297)</f>
        <v>68220.95894759355</v>
      </c>
      <c r="AH297" s="75">
        <f t="shared" si="241"/>
        <v>393887.0320855619</v>
      </c>
      <c r="AI297" s="494">
        <f t="shared" si="242"/>
        <v>15637.31517379681</v>
      </c>
      <c r="AJ297" s="335">
        <f t="shared" si="243"/>
        <v>83965</v>
      </c>
      <c r="AK297" s="494">
        <f t="shared" si="244"/>
        <v>3333.4105000000004</v>
      </c>
    </row>
    <row r="298" spans="1:37" s="487" customFormat="1" ht="12.75">
      <c r="A298" s="354">
        <v>39814</v>
      </c>
      <c r="B298" s="495">
        <v>39829</v>
      </c>
      <c r="C298" s="263">
        <v>11271.49</v>
      </c>
      <c r="D298" s="485">
        <f t="shared" si="230"/>
        <v>191.15999999999985</v>
      </c>
      <c r="E298" s="171" t="s">
        <v>68</v>
      </c>
      <c r="F298" s="168">
        <v>75</v>
      </c>
      <c r="G298" s="66">
        <v>40879.71</v>
      </c>
      <c r="H298" s="320">
        <f>G298-G297</f>
        <v>367.15000000000146</v>
      </c>
      <c r="I298" s="58"/>
      <c r="J298" s="486"/>
      <c r="K298" s="66">
        <v>131166.93</v>
      </c>
      <c r="L298" s="486">
        <f t="shared" si="228"/>
        <v>1723.0899999999965</v>
      </c>
      <c r="M298" s="67"/>
      <c r="N298" s="486"/>
      <c r="O298" s="66">
        <v>679110</v>
      </c>
      <c r="P298" s="486">
        <f t="shared" si="215"/>
        <v>9980</v>
      </c>
      <c r="Q298" s="66">
        <v>981850</v>
      </c>
      <c r="R298" s="486">
        <f t="shared" si="235"/>
        <v>10090</v>
      </c>
      <c r="S298" s="66">
        <v>1256410</v>
      </c>
      <c r="T298" s="486">
        <f t="shared" si="236"/>
        <v>17320</v>
      </c>
      <c r="U298" s="66">
        <v>255699</v>
      </c>
      <c r="V298" s="486">
        <f t="shared" si="233"/>
        <v>97</v>
      </c>
      <c r="W298" s="66">
        <v>987870</v>
      </c>
      <c r="X298" s="486">
        <f t="shared" si="234"/>
        <v>11080</v>
      </c>
      <c r="Y298" s="66">
        <v>520970</v>
      </c>
      <c r="Z298" s="486">
        <f t="shared" si="237"/>
        <v>7850</v>
      </c>
      <c r="AA298" s="66">
        <v>1285790</v>
      </c>
      <c r="AB298" s="486">
        <f t="shared" si="238"/>
        <v>28570</v>
      </c>
      <c r="AC298" s="129">
        <f t="shared" si="239"/>
        <v>400013.7379679141</v>
      </c>
      <c r="AD298" s="141">
        <v>0.039700000000000006</v>
      </c>
      <c r="AE298" s="375">
        <f t="shared" si="240"/>
        <v>15880.545397326192</v>
      </c>
      <c r="AF298" s="141"/>
      <c r="AH298" s="174">
        <f t="shared" si="241"/>
        <v>315026.7379679141</v>
      </c>
      <c r="AI298" s="488">
        <f t="shared" si="242"/>
        <v>12506.56149732619</v>
      </c>
      <c r="AJ298" s="489">
        <f t="shared" si="243"/>
        <v>84987</v>
      </c>
      <c r="AK298" s="488">
        <f t="shared" si="244"/>
        <v>3373.9839000000006</v>
      </c>
    </row>
    <row r="299" spans="1:37" s="487" customFormat="1" ht="12.75">
      <c r="A299" s="484">
        <v>39845</v>
      </c>
      <c r="B299" s="394">
        <v>39861</v>
      </c>
      <c r="C299" s="250">
        <v>11728.17</v>
      </c>
      <c r="D299" s="320">
        <f t="shared" si="230"/>
        <v>456.6800000000003</v>
      </c>
      <c r="E299" s="171" t="s">
        <v>68</v>
      </c>
      <c r="F299" s="168">
        <v>75</v>
      </c>
      <c r="G299" s="58">
        <v>41549.52</v>
      </c>
      <c r="H299" s="320">
        <f>G299-G298</f>
        <v>669.8099999999977</v>
      </c>
      <c r="I299" s="58"/>
      <c r="J299" s="83"/>
      <c r="K299" s="58">
        <v>133720</v>
      </c>
      <c r="L299" s="83">
        <f t="shared" si="228"/>
        <v>2553.070000000007</v>
      </c>
      <c r="M299" s="67"/>
      <c r="N299" s="83"/>
      <c r="O299" s="58">
        <v>692610</v>
      </c>
      <c r="P299" s="83">
        <f t="shared" si="215"/>
        <v>13500</v>
      </c>
      <c r="Q299" s="58">
        <v>991010</v>
      </c>
      <c r="R299" s="83">
        <f t="shared" si="235"/>
        <v>9160</v>
      </c>
      <c r="S299" s="58">
        <v>1281190</v>
      </c>
      <c r="T299" s="83">
        <f t="shared" si="236"/>
        <v>24780</v>
      </c>
      <c r="U299" s="58">
        <v>255836</v>
      </c>
      <c r="V299" s="83">
        <f t="shared" si="233"/>
        <v>137</v>
      </c>
      <c r="W299" s="58">
        <v>1003730</v>
      </c>
      <c r="X299" s="83">
        <f t="shared" si="234"/>
        <v>15860</v>
      </c>
      <c r="Y299" s="58">
        <v>531050</v>
      </c>
      <c r="Z299" s="83">
        <f t="shared" si="237"/>
        <v>10080</v>
      </c>
      <c r="AA299" s="58">
        <v>1309780</v>
      </c>
      <c r="AB299" s="83">
        <f t="shared" si="238"/>
        <v>23990</v>
      </c>
      <c r="AC299" s="129">
        <f t="shared" si="239"/>
        <v>599453.5240641718</v>
      </c>
      <c r="AD299" s="158">
        <v>0.039700000000000006</v>
      </c>
      <c r="AE299" s="126">
        <f t="shared" si="240"/>
        <v>23798.304905347624</v>
      </c>
      <c r="AF299" s="158"/>
      <c r="AH299" s="174">
        <f t="shared" si="241"/>
        <v>501946.52406417177</v>
      </c>
      <c r="AI299" s="488">
        <f t="shared" si="242"/>
        <v>19927.277005347623</v>
      </c>
      <c r="AJ299" s="489">
        <f t="shared" si="243"/>
        <v>97507</v>
      </c>
      <c r="AK299" s="488">
        <f t="shared" si="244"/>
        <v>3871.0279000000005</v>
      </c>
    </row>
    <row r="300" spans="1:37" s="487" customFormat="1" ht="13.5" thickBot="1">
      <c r="A300" s="484">
        <v>39873</v>
      </c>
      <c r="B300" s="394">
        <v>39889</v>
      </c>
      <c r="C300" s="250">
        <v>12019.75</v>
      </c>
      <c r="D300" s="320">
        <f t="shared" si="230"/>
        <v>291.5799999999999</v>
      </c>
      <c r="E300" s="171" t="s">
        <v>68</v>
      </c>
      <c r="F300" s="168">
        <v>75</v>
      </c>
      <c r="G300" s="58">
        <v>41948.67</v>
      </c>
      <c r="H300" s="320">
        <f>G300-G299</f>
        <v>399.15000000000146</v>
      </c>
      <c r="I300" s="58"/>
      <c r="J300" s="83"/>
      <c r="K300" s="58">
        <v>135597.13</v>
      </c>
      <c r="L300" s="83">
        <f t="shared" si="228"/>
        <v>1877.1300000000047</v>
      </c>
      <c r="M300" s="67"/>
      <c r="N300" s="83"/>
      <c r="O300" s="58">
        <v>702670</v>
      </c>
      <c r="P300" s="83">
        <f t="shared" si="215"/>
        <v>10060</v>
      </c>
      <c r="Q300" s="58">
        <v>998870</v>
      </c>
      <c r="R300" s="83">
        <f t="shared" si="235"/>
        <v>7860</v>
      </c>
      <c r="S300" s="58">
        <v>1301010</v>
      </c>
      <c r="T300" s="83">
        <f t="shared" si="236"/>
        <v>19820</v>
      </c>
      <c r="U300" s="58">
        <v>255957</v>
      </c>
      <c r="V300" s="83">
        <f t="shared" si="233"/>
        <v>121</v>
      </c>
      <c r="W300" s="58">
        <v>1016570</v>
      </c>
      <c r="X300" s="83">
        <f t="shared" si="234"/>
        <v>12840</v>
      </c>
      <c r="Y300" s="58">
        <v>538603</v>
      </c>
      <c r="Z300" s="83">
        <f t="shared" si="237"/>
        <v>7553</v>
      </c>
      <c r="AA300" s="58">
        <v>1327050</v>
      </c>
      <c r="AB300" s="83">
        <f t="shared" si="238"/>
        <v>17270</v>
      </c>
      <c r="AC300" s="283">
        <f t="shared" si="239"/>
        <v>428847.5294117655</v>
      </c>
      <c r="AD300" s="139">
        <v>0.039700000000000006</v>
      </c>
      <c r="AE300" s="170">
        <f t="shared" si="240"/>
        <v>17025.246917647095</v>
      </c>
      <c r="AF300" s="137">
        <f>SUM(AE298:AE300)</f>
        <v>56704.09722032091</v>
      </c>
      <c r="AH300" s="174">
        <f t="shared" si="241"/>
        <v>353323.5294117655</v>
      </c>
      <c r="AI300" s="488">
        <f t="shared" si="242"/>
        <v>14026.944117647094</v>
      </c>
      <c r="AJ300" s="489">
        <f t="shared" si="243"/>
        <v>75524</v>
      </c>
      <c r="AK300" s="488">
        <f t="shared" si="244"/>
        <v>2998.3028000000004</v>
      </c>
    </row>
    <row r="301" spans="1:37" s="487" customFormat="1" ht="12.75">
      <c r="A301" s="484">
        <v>39904</v>
      </c>
      <c r="B301" s="394">
        <v>39923</v>
      </c>
      <c r="C301" s="263">
        <v>12467.54</v>
      </c>
      <c r="D301" s="485">
        <f t="shared" si="230"/>
        <v>447.7900000000009</v>
      </c>
      <c r="E301" s="436" t="s">
        <v>68</v>
      </c>
      <c r="F301" s="493">
        <v>50</v>
      </c>
      <c r="G301" s="66">
        <v>42071.76</v>
      </c>
      <c r="H301" s="493">
        <f>AVERAGE(H295:H300)</f>
        <v>565.254166666667</v>
      </c>
      <c r="I301" s="66"/>
      <c r="J301" s="486"/>
      <c r="K301" s="66">
        <v>138204.88</v>
      </c>
      <c r="L301" s="486">
        <f t="shared" si="228"/>
        <v>2607.75</v>
      </c>
      <c r="M301" s="64"/>
      <c r="N301" s="486"/>
      <c r="O301" s="66">
        <v>713100</v>
      </c>
      <c r="P301" s="486">
        <f t="shared" si="215"/>
        <v>10430</v>
      </c>
      <c r="Q301" s="66">
        <v>1008610</v>
      </c>
      <c r="R301" s="486">
        <f t="shared" si="235"/>
        <v>9740</v>
      </c>
      <c r="S301" s="66">
        <v>1327840</v>
      </c>
      <c r="T301" s="486">
        <f t="shared" si="236"/>
        <v>26830</v>
      </c>
      <c r="U301" s="66">
        <v>256122</v>
      </c>
      <c r="V301" s="486">
        <f t="shared" si="233"/>
        <v>165</v>
      </c>
      <c r="W301" s="66">
        <v>1033140</v>
      </c>
      <c r="X301" s="486">
        <f t="shared" si="234"/>
        <v>16570</v>
      </c>
      <c r="Y301" s="66">
        <v>549290</v>
      </c>
      <c r="Z301" s="486">
        <f t="shared" si="237"/>
        <v>10687</v>
      </c>
      <c r="AA301" s="66">
        <v>1351940</v>
      </c>
      <c r="AB301" s="486">
        <f t="shared" si="238"/>
        <v>24890</v>
      </c>
      <c r="AC301" s="83">
        <f>(D301+F301+H301+L301)*1000/7.48+P301+R301+T301+V301+X301+Z301+AB301</f>
        <v>590059.8832442069</v>
      </c>
      <c r="AD301" s="141">
        <v>0.039700000000000006</v>
      </c>
      <c r="AE301" s="375">
        <f t="shared" si="240"/>
        <v>23425.37736479502</v>
      </c>
      <c r="AF301" s="141"/>
      <c r="AH301" s="174">
        <f t="shared" si="241"/>
        <v>490747.8832442069</v>
      </c>
      <c r="AI301" s="488">
        <f t="shared" si="242"/>
        <v>19482.690964795016</v>
      </c>
      <c r="AJ301" s="489">
        <f t="shared" si="243"/>
        <v>99312</v>
      </c>
      <c r="AK301" s="488">
        <f t="shared" si="244"/>
        <v>3942.6864000000005</v>
      </c>
    </row>
    <row r="302" spans="1:37" s="487" customFormat="1" ht="12.75">
      <c r="A302" s="484">
        <v>39934</v>
      </c>
      <c r="B302" s="394">
        <v>39948</v>
      </c>
      <c r="C302" s="250">
        <v>12574.23</v>
      </c>
      <c r="D302" s="320">
        <f t="shared" si="230"/>
        <v>106.68999999999869</v>
      </c>
      <c r="E302" s="171" t="s">
        <v>68</v>
      </c>
      <c r="F302" s="168">
        <v>10</v>
      </c>
      <c r="G302" s="58">
        <v>42071.76</v>
      </c>
      <c r="H302" s="168">
        <f>AVERAGE(H296:H301)</f>
        <v>550.829027777778</v>
      </c>
      <c r="I302" s="58"/>
      <c r="J302" s="83"/>
      <c r="K302" s="58">
        <v>139523.19</v>
      </c>
      <c r="L302" s="83">
        <f t="shared" si="228"/>
        <v>1318.3099999999977</v>
      </c>
      <c r="M302" s="67"/>
      <c r="N302" s="83"/>
      <c r="O302" s="58">
        <v>719950</v>
      </c>
      <c r="P302" s="83">
        <f t="shared" si="215"/>
        <v>6850</v>
      </c>
      <c r="Q302" s="58">
        <v>1013960</v>
      </c>
      <c r="R302" s="83">
        <f t="shared" si="235"/>
        <v>5350</v>
      </c>
      <c r="S302" s="58">
        <v>1338590</v>
      </c>
      <c r="T302" s="83">
        <f t="shared" si="236"/>
        <v>10750</v>
      </c>
      <c r="U302" s="58">
        <v>256242</v>
      </c>
      <c r="V302" s="83">
        <f t="shared" si="233"/>
        <v>120</v>
      </c>
      <c r="W302" s="58">
        <v>1038710</v>
      </c>
      <c r="X302" s="83">
        <f t="shared" si="234"/>
        <v>5570</v>
      </c>
      <c r="Y302" s="58">
        <v>552620</v>
      </c>
      <c r="Z302" s="83">
        <f t="shared" si="237"/>
        <v>3330</v>
      </c>
      <c r="AA302" s="58">
        <v>1367040</v>
      </c>
      <c r="AB302" s="83">
        <f t="shared" si="238"/>
        <v>15100</v>
      </c>
      <c r="AC302" s="83">
        <f t="shared" si="239"/>
        <v>312555.1641414137</v>
      </c>
      <c r="AD302" s="158">
        <v>0.039700000000000006</v>
      </c>
      <c r="AE302" s="126">
        <f t="shared" si="240"/>
        <v>12408.440016414126</v>
      </c>
      <c r="AF302" s="158"/>
      <c r="AH302" s="174">
        <f t="shared" si="241"/>
        <v>265485.1641414137</v>
      </c>
      <c r="AI302" s="488">
        <f t="shared" si="242"/>
        <v>10539.761016414126</v>
      </c>
      <c r="AJ302" s="489">
        <f t="shared" si="243"/>
        <v>47070</v>
      </c>
      <c r="AK302" s="488">
        <f t="shared" si="244"/>
        <v>1868.6790000000003</v>
      </c>
    </row>
    <row r="303" spans="1:37" s="487" customFormat="1" ht="13.5" thickBot="1">
      <c r="A303" s="484">
        <v>39965</v>
      </c>
      <c r="B303" s="178">
        <v>39979</v>
      </c>
      <c r="C303" s="191">
        <v>12600.61</v>
      </c>
      <c r="D303" s="321">
        <f t="shared" si="230"/>
        <v>26.38000000000102</v>
      </c>
      <c r="E303" s="172" t="s">
        <v>68</v>
      </c>
      <c r="F303" s="490">
        <v>5</v>
      </c>
      <c r="G303" s="60">
        <v>42085.05</v>
      </c>
      <c r="H303" s="490">
        <f>AVERAGE(H297:H302)</f>
        <v>533.9996990740743</v>
      </c>
      <c r="I303" s="60"/>
      <c r="J303" s="491"/>
      <c r="K303" s="60">
        <v>140803.35</v>
      </c>
      <c r="L303" s="83">
        <f t="shared" si="228"/>
        <v>1280.1600000000035</v>
      </c>
      <c r="M303" s="69"/>
      <c r="N303" s="491"/>
      <c r="O303" s="60">
        <v>724400</v>
      </c>
      <c r="P303" s="491">
        <f t="shared" si="215"/>
        <v>4450</v>
      </c>
      <c r="Q303" s="60">
        <v>1025000</v>
      </c>
      <c r="R303" s="491">
        <f t="shared" si="235"/>
        <v>11040</v>
      </c>
      <c r="S303" s="60">
        <v>1348790</v>
      </c>
      <c r="T303" s="491">
        <f t="shared" si="236"/>
        <v>10200</v>
      </c>
      <c r="U303" s="60">
        <v>269611</v>
      </c>
      <c r="V303" s="491">
        <f t="shared" si="233"/>
        <v>13369</v>
      </c>
      <c r="W303" s="60">
        <v>1041230</v>
      </c>
      <c r="X303" s="491">
        <f t="shared" si="234"/>
        <v>2520</v>
      </c>
      <c r="Y303" s="60">
        <v>553520</v>
      </c>
      <c r="Z303" s="491">
        <f t="shared" si="237"/>
        <v>900</v>
      </c>
      <c r="AA303" s="60">
        <v>1373790</v>
      </c>
      <c r="AB303" s="491">
        <f t="shared" si="238"/>
        <v>6750</v>
      </c>
      <c r="AC303" s="491">
        <f t="shared" si="239"/>
        <v>295958.90629332606</v>
      </c>
      <c r="AD303" s="139">
        <v>0.039700000000000006</v>
      </c>
      <c r="AE303" s="170">
        <f t="shared" si="240"/>
        <v>11749.568579845047</v>
      </c>
      <c r="AF303" s="137">
        <f>SUM(AE301:AE303)</f>
        <v>47583.385961054184</v>
      </c>
      <c r="AH303" s="174">
        <f t="shared" si="241"/>
        <v>246729.90629332603</v>
      </c>
      <c r="AI303" s="488">
        <f t="shared" si="242"/>
        <v>9795.177279845046</v>
      </c>
      <c r="AJ303" s="489">
        <f t="shared" si="243"/>
        <v>49229</v>
      </c>
      <c r="AK303" s="488">
        <f t="shared" si="244"/>
        <v>1954.3913000000002</v>
      </c>
    </row>
    <row r="304" spans="1:37" s="54" customFormat="1" ht="12.75">
      <c r="A304" s="127">
        <v>39995</v>
      </c>
      <c r="B304" s="462">
        <v>40011</v>
      </c>
      <c r="C304" s="478">
        <v>12658</v>
      </c>
      <c r="D304" s="463">
        <f t="shared" si="230"/>
        <v>57.38999999999942</v>
      </c>
      <c r="E304" s="475" t="s">
        <v>68</v>
      </c>
      <c r="F304" s="465">
        <v>5</v>
      </c>
      <c r="G304" s="478" t="s">
        <v>139</v>
      </c>
      <c r="H304" s="467">
        <v>500</v>
      </c>
      <c r="I304" s="464"/>
      <c r="J304" s="466"/>
      <c r="K304" s="478">
        <v>142316</v>
      </c>
      <c r="L304" s="463">
        <f t="shared" si="228"/>
        <v>1512.6499999999942</v>
      </c>
      <c r="M304" s="464"/>
      <c r="N304" s="466"/>
      <c r="O304" s="478">
        <v>729030</v>
      </c>
      <c r="P304" s="463">
        <f t="shared" si="215"/>
        <v>4630</v>
      </c>
      <c r="Q304" s="510">
        <v>1104184</v>
      </c>
      <c r="R304" s="466">
        <f t="shared" si="235"/>
        <v>79184</v>
      </c>
      <c r="S304" s="478">
        <v>1357710</v>
      </c>
      <c r="T304" s="463">
        <f t="shared" si="236"/>
        <v>8920</v>
      </c>
      <c r="U304" s="510">
        <v>271148</v>
      </c>
      <c r="V304" s="466">
        <f t="shared" si="233"/>
        <v>1537</v>
      </c>
      <c r="W304" s="478">
        <v>1104340</v>
      </c>
      <c r="X304" s="463">
        <f t="shared" si="234"/>
        <v>63110</v>
      </c>
      <c r="Y304" s="510">
        <v>554310</v>
      </c>
      <c r="Z304" s="466">
        <f t="shared" si="237"/>
        <v>790</v>
      </c>
      <c r="AA304" s="478">
        <v>1379200</v>
      </c>
      <c r="AB304" s="463">
        <f t="shared" si="238"/>
        <v>5410</v>
      </c>
      <c r="AC304" s="159">
        <f aca="true" t="shared" si="245" ref="AC304:AC312">(D304+F304+H304+L304)*1000/7.48+P304+R304+T304+V304+X304+Z304+AB304</f>
        <v>440992.7647058815</v>
      </c>
      <c r="AD304" s="162">
        <v>0.0397</v>
      </c>
      <c r="AE304" s="167">
        <f aca="true" t="shared" si="246" ref="AE304:AE321">AC304*AD304</f>
        <v>17507.412758823495</v>
      </c>
      <c r="AF304" s="55"/>
      <c r="AH304" s="147">
        <f aca="true" t="shared" si="247" ref="AH304:AH315">(D304+F304+H304+L304)*1000/7.48</f>
        <v>277411.7647058815</v>
      </c>
      <c r="AI304" s="186">
        <f aca="true" t="shared" si="248" ref="AI304:AI315">AH304*AD304</f>
        <v>11013.247058823494</v>
      </c>
      <c r="AJ304" s="187">
        <f aca="true" t="shared" si="249" ref="AJ304:AJ315">P304+R304+T304+V304+X304+Z304+AB304</f>
        <v>163581</v>
      </c>
      <c r="AK304" s="186">
        <f aca="true" t="shared" si="250" ref="AK304:AK315">AJ304*AD304</f>
        <v>6494.1657</v>
      </c>
    </row>
    <row r="305" spans="1:37" s="54" customFormat="1" ht="12.75">
      <c r="A305" s="127">
        <v>40026</v>
      </c>
      <c r="B305" s="462">
        <v>40042</v>
      </c>
      <c r="C305" s="459">
        <v>12704</v>
      </c>
      <c r="D305" s="468">
        <f t="shared" si="230"/>
        <v>46</v>
      </c>
      <c r="E305" s="479" t="s">
        <v>68</v>
      </c>
      <c r="F305" s="461">
        <v>5</v>
      </c>
      <c r="G305" s="459" t="s">
        <v>139</v>
      </c>
      <c r="H305" s="456">
        <v>500</v>
      </c>
      <c r="I305" s="469"/>
      <c r="J305" s="470"/>
      <c r="K305" s="459">
        <v>143822</v>
      </c>
      <c r="L305" s="468">
        <f t="shared" si="228"/>
        <v>1506</v>
      </c>
      <c r="M305" s="469"/>
      <c r="N305" s="470"/>
      <c r="O305" s="459">
        <v>735250</v>
      </c>
      <c r="P305" s="468">
        <f t="shared" si="215"/>
        <v>6220</v>
      </c>
      <c r="Q305" s="511">
        <v>1106657</v>
      </c>
      <c r="R305" s="470">
        <f t="shared" si="235"/>
        <v>2473</v>
      </c>
      <c r="S305" s="459">
        <v>1363900</v>
      </c>
      <c r="T305" s="468">
        <f t="shared" si="236"/>
        <v>6190</v>
      </c>
      <c r="U305" s="511">
        <v>288295</v>
      </c>
      <c r="V305" s="470">
        <f t="shared" si="233"/>
        <v>17147</v>
      </c>
      <c r="W305" s="459">
        <v>1104582</v>
      </c>
      <c r="X305" s="468">
        <f t="shared" si="234"/>
        <v>242</v>
      </c>
      <c r="Y305" s="511">
        <v>555170</v>
      </c>
      <c r="Z305" s="470">
        <f t="shared" si="237"/>
        <v>860</v>
      </c>
      <c r="AA305" s="459">
        <v>1386360</v>
      </c>
      <c r="AB305" s="468">
        <f t="shared" si="238"/>
        <v>7160</v>
      </c>
      <c r="AC305" s="159">
        <f t="shared" si="245"/>
        <v>315292</v>
      </c>
      <c r="AD305" s="164">
        <v>0.0397</v>
      </c>
      <c r="AE305" s="161">
        <f t="shared" si="246"/>
        <v>12517.0924</v>
      </c>
      <c r="AF305" s="56"/>
      <c r="AH305" s="147">
        <f t="shared" si="247"/>
        <v>275000</v>
      </c>
      <c r="AI305" s="186">
        <f t="shared" si="248"/>
        <v>10917.5</v>
      </c>
      <c r="AJ305" s="187">
        <f t="shared" si="249"/>
        <v>40292</v>
      </c>
      <c r="AK305" s="186">
        <f t="shared" si="250"/>
        <v>1599.5924</v>
      </c>
    </row>
    <row r="306" spans="1:37" s="54" customFormat="1" ht="13.5" thickBot="1">
      <c r="A306" s="127">
        <v>40057</v>
      </c>
      <c r="B306" s="462">
        <v>40071</v>
      </c>
      <c r="C306" s="460">
        <v>12919</v>
      </c>
      <c r="D306" s="471">
        <f t="shared" si="230"/>
        <v>215</v>
      </c>
      <c r="E306" s="480" t="s">
        <v>68</v>
      </c>
      <c r="F306" s="472">
        <v>5</v>
      </c>
      <c r="G306" s="460" t="s">
        <v>139</v>
      </c>
      <c r="H306" s="474">
        <v>500</v>
      </c>
      <c r="I306" s="438"/>
      <c r="J306" s="473"/>
      <c r="K306" s="460">
        <v>145569</v>
      </c>
      <c r="L306" s="471">
        <f t="shared" si="228"/>
        <v>1747</v>
      </c>
      <c r="M306" s="438"/>
      <c r="N306" s="473"/>
      <c r="O306" s="460">
        <v>742450</v>
      </c>
      <c r="P306" s="471">
        <f t="shared" si="215"/>
        <v>7200</v>
      </c>
      <c r="Q306" s="512">
        <v>1107937</v>
      </c>
      <c r="R306" s="473">
        <f t="shared" si="235"/>
        <v>1280</v>
      </c>
      <c r="S306" s="460">
        <v>1379080</v>
      </c>
      <c r="T306" s="471">
        <f t="shared" si="236"/>
        <v>15180</v>
      </c>
      <c r="U306" s="512">
        <v>292607</v>
      </c>
      <c r="V306" s="473">
        <f t="shared" si="233"/>
        <v>4312</v>
      </c>
      <c r="W306" s="460">
        <v>1105587</v>
      </c>
      <c r="X306" s="471">
        <f t="shared" si="234"/>
        <v>1005</v>
      </c>
      <c r="Y306" s="512">
        <v>559410</v>
      </c>
      <c r="Z306" s="473">
        <f t="shared" si="237"/>
        <v>4240</v>
      </c>
      <c r="AA306" s="460">
        <v>1399400</v>
      </c>
      <c r="AB306" s="471">
        <f t="shared" si="238"/>
        <v>13040</v>
      </c>
      <c r="AC306" s="165">
        <f t="shared" si="245"/>
        <v>376069.8342245989</v>
      </c>
      <c r="AD306" s="123">
        <v>0.0397</v>
      </c>
      <c r="AE306" s="124">
        <f t="shared" si="246"/>
        <v>14929.972418716576</v>
      </c>
      <c r="AF306" s="125">
        <f>SUM(AE304:AE306)</f>
        <v>44954.47757754007</v>
      </c>
      <c r="AH306" s="147">
        <f t="shared" si="247"/>
        <v>329812.8342245989</v>
      </c>
      <c r="AI306" s="186">
        <f t="shared" si="248"/>
        <v>13093.569518716575</v>
      </c>
      <c r="AJ306" s="187">
        <f t="shared" si="249"/>
        <v>46257</v>
      </c>
      <c r="AK306" s="186">
        <f t="shared" si="250"/>
        <v>1836.4029</v>
      </c>
    </row>
    <row r="307" spans="1:37" s="54" customFormat="1" ht="12.75">
      <c r="A307" s="127">
        <v>40087</v>
      </c>
      <c r="B307" s="178">
        <v>40102</v>
      </c>
      <c r="C307" s="263">
        <v>13382.71</v>
      </c>
      <c r="D307" s="463">
        <f t="shared" si="230"/>
        <v>463.7099999999991</v>
      </c>
      <c r="E307" s="475" t="s">
        <v>68</v>
      </c>
      <c r="F307" s="467">
        <v>5</v>
      </c>
      <c r="G307" s="263">
        <v>42448.56</v>
      </c>
      <c r="H307" s="463">
        <f>G307-G303</f>
        <v>363.50999999999476</v>
      </c>
      <c r="I307" s="66"/>
      <c r="J307" s="467"/>
      <c r="K307" s="66">
        <v>147938.19</v>
      </c>
      <c r="L307" s="463">
        <f t="shared" si="228"/>
        <v>2369.1900000000023</v>
      </c>
      <c r="M307" s="67"/>
      <c r="N307" s="63"/>
      <c r="O307" s="66">
        <v>752710</v>
      </c>
      <c r="P307" s="463">
        <f t="shared" si="215"/>
        <v>10260</v>
      </c>
      <c r="Q307" s="66">
        <v>1193990</v>
      </c>
      <c r="R307" s="463">
        <f t="shared" si="235"/>
        <v>86053</v>
      </c>
      <c r="S307" s="66">
        <v>1403000</v>
      </c>
      <c r="T307" s="463">
        <f t="shared" si="236"/>
        <v>23920</v>
      </c>
      <c r="U307" s="66">
        <v>298002</v>
      </c>
      <c r="V307" s="463">
        <f t="shared" si="233"/>
        <v>5395</v>
      </c>
      <c r="W307" s="66">
        <v>1174170</v>
      </c>
      <c r="X307" s="463">
        <f t="shared" si="234"/>
        <v>68583</v>
      </c>
      <c r="Y307" s="66">
        <v>568750</v>
      </c>
      <c r="Z307" s="463">
        <f t="shared" si="237"/>
        <v>9340</v>
      </c>
      <c r="AA307" s="66">
        <v>1422820</v>
      </c>
      <c r="AB307" s="463">
        <f t="shared" si="238"/>
        <v>23420</v>
      </c>
      <c r="AC307" s="386">
        <f t="shared" si="245"/>
        <v>654966.9893048124</v>
      </c>
      <c r="AD307" s="162">
        <v>0.0397</v>
      </c>
      <c r="AE307" s="387">
        <f t="shared" si="246"/>
        <v>26002.18947540105</v>
      </c>
      <c r="AF307" s="162"/>
      <c r="AH307" s="147">
        <f t="shared" si="247"/>
        <v>427995.98930481233</v>
      </c>
      <c r="AI307" s="186">
        <f t="shared" si="248"/>
        <v>16991.44077540105</v>
      </c>
      <c r="AJ307" s="187">
        <f t="shared" si="249"/>
        <v>226971</v>
      </c>
      <c r="AK307" s="186">
        <f t="shared" si="250"/>
        <v>9010.7487</v>
      </c>
    </row>
    <row r="308" spans="1:37" s="54" customFormat="1" ht="12.75">
      <c r="A308" s="127">
        <v>40118</v>
      </c>
      <c r="B308" s="178">
        <v>40133</v>
      </c>
      <c r="C308" s="250">
        <v>13828.91</v>
      </c>
      <c r="D308" s="468">
        <f t="shared" si="230"/>
        <v>446.2000000000007</v>
      </c>
      <c r="E308" s="479" t="s">
        <v>68</v>
      </c>
      <c r="F308" s="456">
        <v>5</v>
      </c>
      <c r="G308" s="250">
        <v>42488.81</v>
      </c>
      <c r="H308" s="468">
        <f>G308-G307</f>
        <v>40.25</v>
      </c>
      <c r="I308" s="58"/>
      <c r="J308" s="456"/>
      <c r="K308" s="58">
        <v>150213.61</v>
      </c>
      <c r="L308" s="468">
        <f t="shared" si="228"/>
        <v>2275.4199999999837</v>
      </c>
      <c r="M308" s="67"/>
      <c r="N308" s="83"/>
      <c r="O308" s="58">
        <v>761990</v>
      </c>
      <c r="P308" s="468">
        <f t="shared" si="215"/>
        <v>9280</v>
      </c>
      <c r="Q308" s="58">
        <v>1203330</v>
      </c>
      <c r="R308" s="468">
        <f t="shared" si="235"/>
        <v>9340</v>
      </c>
      <c r="S308" s="58">
        <v>1427230</v>
      </c>
      <c r="T308" s="468">
        <f t="shared" si="236"/>
        <v>24230</v>
      </c>
      <c r="U308" s="58">
        <v>298141</v>
      </c>
      <c r="V308" s="468">
        <f t="shared" si="233"/>
        <v>139</v>
      </c>
      <c r="W308" s="58">
        <v>1192710</v>
      </c>
      <c r="X308" s="468">
        <f t="shared" si="234"/>
        <v>18540</v>
      </c>
      <c r="Y308" s="58">
        <v>577470</v>
      </c>
      <c r="Z308" s="468">
        <f t="shared" si="237"/>
        <v>8720</v>
      </c>
      <c r="AA308" s="58">
        <v>1444700</v>
      </c>
      <c r="AB308" s="468">
        <f t="shared" si="238"/>
        <v>21880</v>
      </c>
      <c r="AC308" s="188">
        <f t="shared" si="245"/>
        <v>462031.40641711024</v>
      </c>
      <c r="AD308" s="164">
        <v>0.0397</v>
      </c>
      <c r="AE308" s="387">
        <f t="shared" si="246"/>
        <v>18342.646834759274</v>
      </c>
      <c r="AF308" s="164"/>
      <c r="AH308" s="147">
        <f t="shared" si="247"/>
        <v>369902.40641711024</v>
      </c>
      <c r="AI308" s="186">
        <f t="shared" si="248"/>
        <v>14685.125534759276</v>
      </c>
      <c r="AJ308" s="187">
        <f t="shared" si="249"/>
        <v>92129</v>
      </c>
      <c r="AK308" s="186">
        <f t="shared" si="250"/>
        <v>3657.5213</v>
      </c>
    </row>
    <row r="309" spans="1:37" s="76" customFormat="1" ht="13.5" thickBot="1">
      <c r="A309" s="127">
        <v>40148</v>
      </c>
      <c r="B309" s="116">
        <v>40162</v>
      </c>
      <c r="C309" s="191">
        <v>14182.07</v>
      </c>
      <c r="D309" s="471">
        <f t="shared" si="230"/>
        <v>353.15999999999985</v>
      </c>
      <c r="E309" s="480" t="s">
        <v>68</v>
      </c>
      <c r="F309" s="474">
        <v>5</v>
      </c>
      <c r="G309" s="193">
        <v>43038.12</v>
      </c>
      <c r="H309" s="471">
        <f>G309-G308</f>
        <v>549.310000000005</v>
      </c>
      <c r="I309" s="191"/>
      <c r="J309" s="474"/>
      <c r="K309" s="191">
        <v>152089.45</v>
      </c>
      <c r="L309" s="471">
        <f t="shared" si="228"/>
        <v>1875.8400000000256</v>
      </c>
      <c r="M309" s="193"/>
      <c r="N309" s="194"/>
      <c r="O309" s="60">
        <v>769690</v>
      </c>
      <c r="P309" s="471">
        <f t="shared" si="215"/>
        <v>7700</v>
      </c>
      <c r="Q309" s="60">
        <v>1212030</v>
      </c>
      <c r="R309" s="471">
        <f t="shared" si="235"/>
        <v>8700</v>
      </c>
      <c r="S309" s="60">
        <v>1447780</v>
      </c>
      <c r="T309" s="471">
        <f t="shared" si="236"/>
        <v>20550</v>
      </c>
      <c r="U309" s="60">
        <v>298269</v>
      </c>
      <c r="V309" s="471">
        <f t="shared" si="233"/>
        <v>128</v>
      </c>
      <c r="W309" s="60">
        <v>1208490</v>
      </c>
      <c r="X309" s="471">
        <f t="shared" si="234"/>
        <v>15780</v>
      </c>
      <c r="Y309" s="60">
        <v>584840</v>
      </c>
      <c r="Z309" s="471">
        <f t="shared" si="237"/>
        <v>7370</v>
      </c>
      <c r="AA309" s="60">
        <v>1463180</v>
      </c>
      <c r="AB309" s="471">
        <f t="shared" si="238"/>
        <v>18480</v>
      </c>
      <c r="AC309" s="388">
        <f t="shared" si="245"/>
        <v>450808.26737968315</v>
      </c>
      <c r="AD309" s="123">
        <v>0.0397</v>
      </c>
      <c r="AE309" s="390">
        <f t="shared" si="246"/>
        <v>17897.08821497342</v>
      </c>
      <c r="AF309" s="391">
        <f>SUM(AE307:AE309)</f>
        <v>62241.92452513374</v>
      </c>
      <c r="AH309" s="256">
        <f t="shared" si="247"/>
        <v>372100.26737968315</v>
      </c>
      <c r="AI309" s="257">
        <f t="shared" si="248"/>
        <v>14772.380614973421</v>
      </c>
      <c r="AJ309" s="258">
        <f t="shared" si="249"/>
        <v>78708</v>
      </c>
      <c r="AK309" s="257">
        <f t="shared" si="250"/>
        <v>3124.7075999999997</v>
      </c>
    </row>
    <row r="310" spans="1:37" s="54" customFormat="1" ht="12.75">
      <c r="A310" s="127">
        <v>40179</v>
      </c>
      <c r="B310" s="178">
        <v>40193</v>
      </c>
      <c r="C310" s="263">
        <v>14394.96</v>
      </c>
      <c r="D310" s="463">
        <f t="shared" si="230"/>
        <v>212.88999999999942</v>
      </c>
      <c r="E310" s="475" t="s">
        <v>68</v>
      </c>
      <c r="F310" s="467">
        <v>5</v>
      </c>
      <c r="G310" s="263">
        <v>43166.47</v>
      </c>
      <c r="H310" s="463">
        <f>G310-G309</f>
        <v>128.34999999999854</v>
      </c>
      <c r="I310" s="66"/>
      <c r="J310" s="467"/>
      <c r="K310" s="66">
        <v>153586.76</v>
      </c>
      <c r="L310" s="463">
        <f t="shared" si="228"/>
        <v>1497.3099999999977</v>
      </c>
      <c r="M310" s="67"/>
      <c r="N310" s="63"/>
      <c r="O310" s="66">
        <v>775680</v>
      </c>
      <c r="P310" s="463">
        <f t="shared" si="215"/>
        <v>5990</v>
      </c>
      <c r="Q310" s="66">
        <v>1218540</v>
      </c>
      <c r="R310" s="463">
        <f t="shared" si="235"/>
        <v>6510</v>
      </c>
      <c r="S310" s="66">
        <v>1459590</v>
      </c>
      <c r="T310" s="463">
        <f t="shared" si="236"/>
        <v>11810</v>
      </c>
      <c r="U310" s="66">
        <v>298364</v>
      </c>
      <c r="V310" s="463">
        <f t="shared" si="233"/>
        <v>95</v>
      </c>
      <c r="W310" s="66">
        <v>1222550</v>
      </c>
      <c r="X310" s="463">
        <f t="shared" si="234"/>
        <v>14060</v>
      </c>
      <c r="Y310" s="66">
        <v>599330</v>
      </c>
      <c r="Z310" s="463">
        <f t="shared" si="237"/>
        <v>14490</v>
      </c>
      <c r="AA310" s="66">
        <v>1476570</v>
      </c>
      <c r="AB310" s="463">
        <f t="shared" si="238"/>
        <v>13390</v>
      </c>
      <c r="AC310" s="386">
        <f t="shared" si="245"/>
        <v>312808.9037433149</v>
      </c>
      <c r="AD310" s="162">
        <v>0.0397</v>
      </c>
      <c r="AE310" s="387">
        <f t="shared" si="246"/>
        <v>12418.513478609602</v>
      </c>
      <c r="AF310" s="162"/>
      <c r="AH310" s="147">
        <f t="shared" si="247"/>
        <v>246463.9037433149</v>
      </c>
      <c r="AI310" s="186">
        <f t="shared" si="248"/>
        <v>9784.616978609602</v>
      </c>
      <c r="AJ310" s="187">
        <f t="shared" si="249"/>
        <v>66345</v>
      </c>
      <c r="AK310" s="186">
        <f t="shared" si="250"/>
        <v>2633.8965</v>
      </c>
    </row>
    <row r="311" spans="1:37" s="54" customFormat="1" ht="12.75">
      <c r="A311" s="127">
        <v>40210</v>
      </c>
      <c r="B311" s="178">
        <v>40224</v>
      </c>
      <c r="C311" s="250">
        <v>14938.08</v>
      </c>
      <c r="D311" s="468">
        <f t="shared" si="230"/>
        <v>543.1200000000008</v>
      </c>
      <c r="E311" s="479" t="s">
        <v>68</v>
      </c>
      <c r="F311" s="456">
        <v>5</v>
      </c>
      <c r="G311" s="250">
        <v>43633.21</v>
      </c>
      <c r="H311" s="468">
        <f>G311-G310</f>
        <v>466.73999999999796</v>
      </c>
      <c r="I311" s="58"/>
      <c r="J311" s="456"/>
      <c r="K311" s="58">
        <v>155897.7</v>
      </c>
      <c r="L311" s="468">
        <f t="shared" si="228"/>
        <v>2310.9400000000023</v>
      </c>
      <c r="M311" s="67"/>
      <c r="N311" s="83"/>
      <c r="O311" s="58">
        <v>784530</v>
      </c>
      <c r="P311" s="468">
        <f t="shared" si="215"/>
        <v>8850</v>
      </c>
      <c r="Q311" s="58">
        <v>1226910</v>
      </c>
      <c r="R311" s="468">
        <f t="shared" si="235"/>
        <v>8370</v>
      </c>
      <c r="S311" s="58">
        <v>1478930</v>
      </c>
      <c r="T311" s="468">
        <f t="shared" si="236"/>
        <v>19340</v>
      </c>
      <c r="U311" s="58">
        <v>298516</v>
      </c>
      <c r="V311" s="468">
        <f t="shared" si="233"/>
        <v>152</v>
      </c>
      <c r="W311" s="58">
        <v>1247850</v>
      </c>
      <c r="X311" s="468">
        <f t="shared" si="234"/>
        <v>25300</v>
      </c>
      <c r="Y311" s="58">
        <v>607350</v>
      </c>
      <c r="Z311" s="468">
        <f t="shared" si="237"/>
        <v>8020</v>
      </c>
      <c r="AA311" s="58">
        <v>1497570</v>
      </c>
      <c r="AB311" s="468">
        <f t="shared" si="238"/>
        <v>21000</v>
      </c>
      <c r="AC311" s="188">
        <f t="shared" si="245"/>
        <v>535657.6684491979</v>
      </c>
      <c r="AD311" s="164">
        <v>0.0397</v>
      </c>
      <c r="AE311" s="387">
        <f t="shared" si="246"/>
        <v>21265.609437433155</v>
      </c>
      <c r="AF311" s="164"/>
      <c r="AH311" s="147">
        <f t="shared" si="247"/>
        <v>444625.66844919795</v>
      </c>
      <c r="AI311" s="186">
        <f t="shared" si="248"/>
        <v>17651.639037433157</v>
      </c>
      <c r="AJ311" s="187">
        <f t="shared" si="249"/>
        <v>91032</v>
      </c>
      <c r="AK311" s="186">
        <f t="shared" si="250"/>
        <v>3613.9703999999997</v>
      </c>
    </row>
    <row r="312" spans="1:37" s="76" customFormat="1" ht="13.5" thickBot="1">
      <c r="A312" s="127">
        <v>40238</v>
      </c>
      <c r="B312" s="116">
        <v>40252</v>
      </c>
      <c r="C312" s="191">
        <v>15309.46</v>
      </c>
      <c r="D312" s="471">
        <f t="shared" si="230"/>
        <v>371.3799999999992</v>
      </c>
      <c r="E312" s="480" t="s">
        <v>68</v>
      </c>
      <c r="F312" s="474">
        <v>5</v>
      </c>
      <c r="G312" s="193">
        <v>43657</v>
      </c>
      <c r="H312" s="471">
        <f>G312-G311</f>
        <v>23.790000000000873</v>
      </c>
      <c r="I312" s="191"/>
      <c r="J312" s="474"/>
      <c r="K312" s="191">
        <v>157683.23</v>
      </c>
      <c r="L312" s="471">
        <f t="shared" si="228"/>
        <v>1785.5299999999988</v>
      </c>
      <c r="M312" s="193"/>
      <c r="N312" s="194"/>
      <c r="O312" s="60">
        <v>793480</v>
      </c>
      <c r="P312" s="471">
        <f t="shared" si="215"/>
        <v>8950</v>
      </c>
      <c r="Q312" s="60">
        <v>1233800</v>
      </c>
      <c r="R312" s="471">
        <f t="shared" si="235"/>
        <v>6890</v>
      </c>
      <c r="S312" s="60">
        <v>1493040</v>
      </c>
      <c r="T312" s="471">
        <f t="shared" si="236"/>
        <v>14110</v>
      </c>
      <c r="U312" s="60">
        <v>298665</v>
      </c>
      <c r="V312" s="471">
        <f t="shared" si="233"/>
        <v>149</v>
      </c>
      <c r="W312" s="60">
        <v>1264260</v>
      </c>
      <c r="X312" s="471">
        <f t="shared" si="234"/>
        <v>16410</v>
      </c>
      <c r="Y312" s="60">
        <v>614150</v>
      </c>
      <c r="Z312" s="471">
        <f t="shared" si="237"/>
        <v>6800</v>
      </c>
      <c r="AA312" s="60">
        <v>1514870</v>
      </c>
      <c r="AB312" s="471">
        <f t="shared" si="238"/>
        <v>17300</v>
      </c>
      <c r="AC312" s="388">
        <f t="shared" si="245"/>
        <v>362814.88235294103</v>
      </c>
      <c r="AD312" s="123">
        <v>0.0397</v>
      </c>
      <c r="AE312" s="390">
        <f t="shared" si="246"/>
        <v>14403.750829411758</v>
      </c>
      <c r="AF312" s="391">
        <f>SUM(AE310:AE312)</f>
        <v>48087.87374545452</v>
      </c>
      <c r="AH312" s="256">
        <f t="shared" si="247"/>
        <v>292205.88235294103</v>
      </c>
      <c r="AI312" s="257">
        <f t="shared" si="248"/>
        <v>11600.573529411758</v>
      </c>
      <c r="AJ312" s="258">
        <f t="shared" si="249"/>
        <v>70609</v>
      </c>
      <c r="AK312" s="257">
        <f t="shared" si="250"/>
        <v>2803.1773</v>
      </c>
    </row>
    <row r="313" spans="1:37" s="54" customFormat="1" ht="12.75">
      <c r="A313" s="127">
        <v>40269</v>
      </c>
      <c r="B313" s="178">
        <v>40284</v>
      </c>
      <c r="C313" s="263">
        <v>15888.38</v>
      </c>
      <c r="D313" s="463">
        <f t="shared" si="230"/>
        <v>578.9200000000001</v>
      </c>
      <c r="E313" s="475" t="s">
        <v>68</v>
      </c>
      <c r="F313" s="467">
        <v>5</v>
      </c>
      <c r="G313" s="263">
        <v>43657.01</v>
      </c>
      <c r="H313" s="467">
        <v>500</v>
      </c>
      <c r="I313" s="66"/>
      <c r="J313" s="467"/>
      <c r="K313" s="66">
        <v>160132.63</v>
      </c>
      <c r="L313" s="463">
        <f t="shared" si="228"/>
        <v>2449.399999999994</v>
      </c>
      <c r="M313" s="67"/>
      <c r="N313" s="63"/>
      <c r="O313" s="66">
        <v>804090</v>
      </c>
      <c r="P313" s="463">
        <f t="shared" si="215"/>
        <v>10610</v>
      </c>
      <c r="Q313" s="66">
        <v>1242850</v>
      </c>
      <c r="R313" s="463">
        <f t="shared" si="235"/>
        <v>9050</v>
      </c>
      <c r="S313" s="66">
        <v>1511660</v>
      </c>
      <c r="T313" s="463">
        <f t="shared" si="236"/>
        <v>18620</v>
      </c>
      <c r="U313" s="66">
        <v>298830</v>
      </c>
      <c r="V313" s="463">
        <f t="shared" si="233"/>
        <v>165</v>
      </c>
      <c r="W313" s="66">
        <v>1281270</v>
      </c>
      <c r="X313" s="463">
        <f t="shared" si="234"/>
        <v>17010</v>
      </c>
      <c r="Y313" s="66">
        <v>622220</v>
      </c>
      <c r="Z313" s="463">
        <f t="shared" si="237"/>
        <v>8070</v>
      </c>
      <c r="AA313" s="66">
        <v>1536410</v>
      </c>
      <c r="AB313" s="463">
        <f t="shared" si="238"/>
        <v>21540</v>
      </c>
      <c r="AC313" s="386">
        <f aca="true" t="shared" si="251" ref="AC313:AC321">(D313+F313+H313+L313)*1000/7.48+P313+R313+T313+V313+X313+Z313+AB313</f>
        <v>557433.9839572185</v>
      </c>
      <c r="AD313" s="162">
        <v>0.0397</v>
      </c>
      <c r="AE313" s="387">
        <f t="shared" si="246"/>
        <v>22130.129163101574</v>
      </c>
      <c r="AF313" s="162"/>
      <c r="AH313" s="147">
        <f t="shared" si="247"/>
        <v>472368.9839572185</v>
      </c>
      <c r="AI313" s="186">
        <f t="shared" si="248"/>
        <v>18753.048663101574</v>
      </c>
      <c r="AJ313" s="187">
        <f t="shared" si="249"/>
        <v>85065</v>
      </c>
      <c r="AK313" s="186">
        <f t="shared" si="250"/>
        <v>3377.0805</v>
      </c>
    </row>
    <row r="314" spans="1:37" s="54" customFormat="1" ht="12.75">
      <c r="A314" s="127">
        <v>40299</v>
      </c>
      <c r="B314" s="178">
        <v>40312</v>
      </c>
      <c r="C314" s="250">
        <v>16054.27</v>
      </c>
      <c r="D314" s="468">
        <f t="shared" si="230"/>
        <v>165.89000000000124</v>
      </c>
      <c r="E314" s="479" t="s">
        <v>68</v>
      </c>
      <c r="F314" s="456">
        <v>5</v>
      </c>
      <c r="G314" s="250">
        <v>43657.01</v>
      </c>
      <c r="H314" s="456">
        <v>500</v>
      </c>
      <c r="I314" s="58"/>
      <c r="J314" s="456"/>
      <c r="K314" s="58">
        <v>161592.61</v>
      </c>
      <c r="L314" s="468">
        <f t="shared" si="228"/>
        <v>1459.9799999999814</v>
      </c>
      <c r="M314" s="67"/>
      <c r="N314" s="83"/>
      <c r="O314" s="58">
        <v>810520</v>
      </c>
      <c r="P314" s="468">
        <f t="shared" si="215"/>
        <v>6430</v>
      </c>
      <c r="Q314" s="58">
        <v>1249160</v>
      </c>
      <c r="R314" s="468">
        <f t="shared" si="235"/>
        <v>6310</v>
      </c>
      <c r="S314" s="58">
        <v>1521740</v>
      </c>
      <c r="T314" s="468">
        <f t="shared" si="236"/>
        <v>10080</v>
      </c>
      <c r="U314" s="58">
        <v>299044</v>
      </c>
      <c r="V314" s="468">
        <f t="shared" si="233"/>
        <v>214</v>
      </c>
      <c r="W314" s="58">
        <v>1290080</v>
      </c>
      <c r="X314" s="468">
        <f t="shared" si="234"/>
        <v>8810</v>
      </c>
      <c r="Y314" s="58">
        <v>626810</v>
      </c>
      <c r="Z314" s="468">
        <f t="shared" si="237"/>
        <v>4590</v>
      </c>
      <c r="AA314" s="58">
        <v>1546470</v>
      </c>
      <c r="AB314" s="468">
        <f t="shared" si="238"/>
        <v>10060</v>
      </c>
      <c r="AC314" s="188">
        <f t="shared" si="251"/>
        <v>331369.66844919557</v>
      </c>
      <c r="AD314" s="164">
        <v>0.0397</v>
      </c>
      <c r="AE314" s="387">
        <f t="shared" si="246"/>
        <v>13155.375837433065</v>
      </c>
      <c r="AF314" s="164"/>
      <c r="AH314" s="147">
        <f t="shared" si="247"/>
        <v>284875.66844919557</v>
      </c>
      <c r="AI314" s="186">
        <f t="shared" si="248"/>
        <v>11309.564037433063</v>
      </c>
      <c r="AJ314" s="187">
        <f t="shared" si="249"/>
        <v>46494</v>
      </c>
      <c r="AK314" s="186">
        <f t="shared" si="250"/>
        <v>1845.8118</v>
      </c>
    </row>
    <row r="315" spans="1:37" s="76" customFormat="1" ht="13.5" thickBot="1">
      <c r="A315" s="127">
        <v>40330</v>
      </c>
      <c r="B315" s="116">
        <v>40343</v>
      </c>
      <c r="C315" s="191">
        <v>16065.53</v>
      </c>
      <c r="D315" s="471">
        <f t="shared" si="230"/>
        <v>11.260000000000218</v>
      </c>
      <c r="E315" s="480" t="s">
        <v>68</v>
      </c>
      <c r="F315" s="474">
        <v>5</v>
      </c>
      <c r="G315" s="193">
        <v>43658</v>
      </c>
      <c r="H315" s="474">
        <v>500</v>
      </c>
      <c r="I315" s="191"/>
      <c r="J315" s="474"/>
      <c r="K315" s="191">
        <v>162885.06</v>
      </c>
      <c r="L315" s="471">
        <f t="shared" si="228"/>
        <v>1292.4500000000116</v>
      </c>
      <c r="M315" s="193"/>
      <c r="N315" s="194"/>
      <c r="O315" s="60">
        <v>813640</v>
      </c>
      <c r="P315" s="471">
        <f t="shared" si="215"/>
        <v>3120</v>
      </c>
      <c r="Q315" s="60">
        <v>1258340</v>
      </c>
      <c r="R315" s="471">
        <f t="shared" si="235"/>
        <v>9180</v>
      </c>
      <c r="S315" s="60">
        <v>1526180</v>
      </c>
      <c r="T315" s="471">
        <f t="shared" si="236"/>
        <v>4440</v>
      </c>
      <c r="U315" s="60">
        <v>302683</v>
      </c>
      <c r="V315" s="471">
        <f t="shared" si="233"/>
        <v>3639</v>
      </c>
      <c r="W315" s="60">
        <v>1297120</v>
      </c>
      <c r="X315" s="471">
        <f t="shared" si="234"/>
        <v>7040</v>
      </c>
      <c r="Y315" s="60">
        <v>628190</v>
      </c>
      <c r="Z315" s="471">
        <f t="shared" si="237"/>
        <v>1380</v>
      </c>
      <c r="AA315" s="60">
        <v>1549360</v>
      </c>
      <c r="AB315" s="471">
        <f t="shared" si="238"/>
        <v>2890</v>
      </c>
      <c r="AC315" s="388">
        <f t="shared" si="251"/>
        <v>273495.14973262185</v>
      </c>
      <c r="AD315" s="123">
        <v>0.0397</v>
      </c>
      <c r="AE315" s="390">
        <f t="shared" si="246"/>
        <v>10857.757444385088</v>
      </c>
      <c r="AF315" s="391">
        <f>SUM(AE313:AE315)</f>
        <v>46143.26244491973</v>
      </c>
      <c r="AH315" s="256">
        <f t="shared" si="247"/>
        <v>241806.14973262188</v>
      </c>
      <c r="AI315" s="257">
        <f t="shared" si="248"/>
        <v>9599.704144385089</v>
      </c>
      <c r="AJ315" s="258">
        <f t="shared" si="249"/>
        <v>31689</v>
      </c>
      <c r="AK315" s="257">
        <f t="shared" si="250"/>
        <v>1258.0533</v>
      </c>
    </row>
    <row r="316" spans="1:37" s="54" customFormat="1" ht="12.75">
      <c r="A316" s="127">
        <v>40360</v>
      </c>
      <c r="B316" s="178">
        <v>40375</v>
      </c>
      <c r="C316" s="263">
        <v>16141.51</v>
      </c>
      <c r="D316" s="463">
        <f t="shared" si="230"/>
        <v>75.97999999999956</v>
      </c>
      <c r="E316" s="475" t="s">
        <v>68</v>
      </c>
      <c r="F316" s="168">
        <v>50</v>
      </c>
      <c r="G316" s="263">
        <v>43829.13</v>
      </c>
      <c r="H316" s="463">
        <f>G316-G315</f>
        <v>171.12999999999738</v>
      </c>
      <c r="I316" s="66"/>
      <c r="J316" s="467"/>
      <c r="K316" s="66">
        <v>164320.22</v>
      </c>
      <c r="L316" s="463">
        <f t="shared" si="228"/>
        <v>1435.1600000000035</v>
      </c>
      <c r="M316" s="67"/>
      <c r="N316" s="63"/>
      <c r="O316" s="66">
        <v>815560</v>
      </c>
      <c r="P316" s="463">
        <f t="shared" si="215"/>
        <v>1920</v>
      </c>
      <c r="Q316" s="66">
        <v>1286600</v>
      </c>
      <c r="R316" s="463">
        <f t="shared" si="235"/>
        <v>28260</v>
      </c>
      <c r="S316" s="66">
        <v>1531460</v>
      </c>
      <c r="T316" s="463">
        <f t="shared" si="236"/>
        <v>5280</v>
      </c>
      <c r="U316" s="66">
        <v>318456</v>
      </c>
      <c r="V316" s="463">
        <f t="shared" si="233"/>
        <v>15773</v>
      </c>
      <c r="W316" s="66">
        <v>1298970</v>
      </c>
      <c r="X316" s="463">
        <f t="shared" si="234"/>
        <v>1850</v>
      </c>
      <c r="Y316" s="66">
        <v>630510</v>
      </c>
      <c r="Z316" s="463">
        <f t="shared" si="237"/>
        <v>2320</v>
      </c>
      <c r="AA316" s="66">
        <v>1551750</v>
      </c>
      <c r="AB316" s="463">
        <f t="shared" si="238"/>
        <v>2390</v>
      </c>
      <c r="AC316" s="386">
        <f t="shared" si="251"/>
        <v>289379.898395722</v>
      </c>
      <c r="AD316" s="162">
        <f>Rates!$E$31</f>
        <v>0.0635</v>
      </c>
      <c r="AE316" s="387">
        <f>AC316*AD316</f>
        <v>18375.623548128347</v>
      </c>
      <c r="AF316" s="162"/>
      <c r="AH316" s="147">
        <f aca="true" t="shared" si="252" ref="AH316:AH327">(D316+F316+H316+L316)*1000/7.48</f>
        <v>231586.89839572198</v>
      </c>
      <c r="AI316" s="186">
        <f aca="true" t="shared" si="253" ref="AI316:AI327">AH316*AD316</f>
        <v>14705.768048128346</v>
      </c>
      <c r="AJ316" s="187">
        <f aca="true" t="shared" si="254" ref="AJ316:AJ327">P316+R316+T316+V316+X316+Z316+AB316</f>
        <v>57793</v>
      </c>
      <c r="AK316" s="186">
        <f aca="true" t="shared" si="255" ref="AK316:AK327">AJ316*AD316</f>
        <v>3669.8555</v>
      </c>
    </row>
    <row r="317" spans="1:37" s="54" customFormat="1" ht="12.75">
      <c r="A317" s="127">
        <v>40391</v>
      </c>
      <c r="B317" s="178">
        <v>40406</v>
      </c>
      <c r="C317" s="250">
        <v>16192</v>
      </c>
      <c r="D317" s="468">
        <f t="shared" si="230"/>
        <v>50.48999999999978</v>
      </c>
      <c r="E317" s="479" t="s">
        <v>68</v>
      </c>
      <c r="F317" s="168">
        <v>50</v>
      </c>
      <c r="G317" s="250">
        <v>44040.97</v>
      </c>
      <c r="H317" s="468">
        <f>G317-G316</f>
        <v>211.84000000000378</v>
      </c>
      <c r="I317" s="58"/>
      <c r="J317" s="456"/>
      <c r="K317" s="58">
        <v>165915.07</v>
      </c>
      <c r="L317" s="468">
        <f t="shared" si="228"/>
        <v>1594.8500000000058</v>
      </c>
      <c r="M317" s="67"/>
      <c r="N317" s="83"/>
      <c r="O317" s="58">
        <v>816810</v>
      </c>
      <c r="P317" s="468">
        <f t="shared" si="215"/>
        <v>1250</v>
      </c>
      <c r="Q317" s="58">
        <v>1320830</v>
      </c>
      <c r="R317" s="468">
        <f t="shared" si="235"/>
        <v>34230</v>
      </c>
      <c r="S317" s="58">
        <v>1539220</v>
      </c>
      <c r="T317" s="468">
        <f t="shared" si="236"/>
        <v>7760</v>
      </c>
      <c r="U317" s="58">
        <v>335374</v>
      </c>
      <c r="V317" s="468">
        <f t="shared" si="233"/>
        <v>16918</v>
      </c>
      <c r="W317" s="58">
        <v>1300710</v>
      </c>
      <c r="X317" s="468">
        <f t="shared" si="234"/>
        <v>1740</v>
      </c>
      <c r="Y317" s="58">
        <v>631660</v>
      </c>
      <c r="Z317" s="468">
        <f t="shared" si="237"/>
        <v>1150</v>
      </c>
      <c r="AA317" s="58">
        <v>1552770</v>
      </c>
      <c r="AB317" s="468">
        <f t="shared" si="238"/>
        <v>1020</v>
      </c>
      <c r="AC317" s="188">
        <f t="shared" si="251"/>
        <v>319038.5882352954</v>
      </c>
      <c r="AD317" s="164">
        <f>Rates!$E$31</f>
        <v>0.0635</v>
      </c>
      <c r="AE317" s="387">
        <f t="shared" si="246"/>
        <v>20258.950352941258</v>
      </c>
      <c r="AF317" s="164"/>
      <c r="AH317" s="256">
        <f t="shared" si="252"/>
        <v>254970.58823529535</v>
      </c>
      <c r="AI317" s="257">
        <f t="shared" si="253"/>
        <v>16190.632352941255</v>
      </c>
      <c r="AJ317" s="258">
        <f t="shared" si="254"/>
        <v>64068</v>
      </c>
      <c r="AK317" s="257">
        <f t="shared" si="255"/>
        <v>4068.318</v>
      </c>
    </row>
    <row r="318" spans="1:37" s="76" customFormat="1" ht="13.5" thickBot="1">
      <c r="A318" s="127">
        <v>40422</v>
      </c>
      <c r="B318" s="116">
        <v>40438</v>
      </c>
      <c r="C318" s="191">
        <v>16229.86</v>
      </c>
      <c r="D318" s="471">
        <f t="shared" si="230"/>
        <v>37.86000000000058</v>
      </c>
      <c r="E318" s="480" t="s">
        <v>68</v>
      </c>
      <c r="F318" s="490">
        <v>50</v>
      </c>
      <c r="G318" s="193">
        <v>44164.43</v>
      </c>
      <c r="H318" s="471">
        <f>G318-G317</f>
        <v>123.45999999999913</v>
      </c>
      <c r="I318" s="191"/>
      <c r="J318" s="474"/>
      <c r="K318" s="191">
        <v>168121.84</v>
      </c>
      <c r="L318" s="471">
        <f t="shared" si="228"/>
        <v>2206.7699999999895</v>
      </c>
      <c r="M318" s="193"/>
      <c r="N318" s="194"/>
      <c r="O318" s="60">
        <v>824030</v>
      </c>
      <c r="P318" s="471">
        <f t="shared" si="215"/>
        <v>7220</v>
      </c>
      <c r="Q318" s="60">
        <v>1347360</v>
      </c>
      <c r="R318" s="471">
        <f t="shared" si="235"/>
        <v>26530</v>
      </c>
      <c r="S318" s="60">
        <v>1552780</v>
      </c>
      <c r="T318" s="471">
        <f t="shared" si="236"/>
        <v>13560</v>
      </c>
      <c r="U318" s="60">
        <v>348686</v>
      </c>
      <c r="V318" s="471">
        <f t="shared" si="233"/>
        <v>13312</v>
      </c>
      <c r="W318" s="60">
        <v>1312340</v>
      </c>
      <c r="X318" s="471">
        <f t="shared" si="234"/>
        <v>11630</v>
      </c>
      <c r="Y318" s="60">
        <v>638060</v>
      </c>
      <c r="Z318" s="471">
        <f t="shared" si="237"/>
        <v>6400</v>
      </c>
      <c r="AA318" s="60">
        <v>1575180</v>
      </c>
      <c r="AB318" s="471">
        <f t="shared" si="238"/>
        <v>22410</v>
      </c>
      <c r="AC318" s="388">
        <f t="shared" si="251"/>
        <v>424336.0641711216</v>
      </c>
      <c r="AD318" s="389">
        <f>Rates!$E$31</f>
        <v>0.0635</v>
      </c>
      <c r="AE318" s="390">
        <f t="shared" si="246"/>
        <v>26945.34007486622</v>
      </c>
      <c r="AF318" s="391">
        <f>SUM(AE316:AE318)</f>
        <v>65579.91397593582</v>
      </c>
      <c r="AH318" s="147">
        <f t="shared" si="252"/>
        <v>323274.0641711216</v>
      </c>
      <c r="AI318" s="186">
        <f t="shared" si="253"/>
        <v>20527.90307486622</v>
      </c>
      <c r="AJ318" s="187">
        <f t="shared" si="254"/>
        <v>101062</v>
      </c>
      <c r="AK318" s="186">
        <f t="shared" si="255"/>
        <v>6417.437</v>
      </c>
    </row>
    <row r="319" spans="1:37" s="54" customFormat="1" ht="12.75">
      <c r="A319" s="127">
        <v>40452</v>
      </c>
      <c r="B319" s="178">
        <v>40466</v>
      </c>
      <c r="C319" s="263">
        <v>16502.48</v>
      </c>
      <c r="D319" s="463">
        <f t="shared" si="230"/>
        <v>272.619999999999</v>
      </c>
      <c r="E319" s="475" t="s">
        <v>68</v>
      </c>
      <c r="F319" s="493">
        <v>75</v>
      </c>
      <c r="G319" s="263">
        <v>44384.68</v>
      </c>
      <c r="H319" s="463">
        <f>G319-G318</f>
        <v>220.25</v>
      </c>
      <c r="I319" s="66"/>
      <c r="J319" s="467"/>
      <c r="K319" s="66">
        <v>170409.96</v>
      </c>
      <c r="L319" s="463">
        <f t="shared" si="228"/>
        <v>2288.1199999999953</v>
      </c>
      <c r="M319" s="67"/>
      <c r="N319" s="63"/>
      <c r="O319" s="66">
        <v>833540</v>
      </c>
      <c r="P319" s="463">
        <f t="shared" si="215"/>
        <v>9510</v>
      </c>
      <c r="Q319" s="66">
        <v>1355840</v>
      </c>
      <c r="R319" s="463">
        <f t="shared" si="235"/>
        <v>8480</v>
      </c>
      <c r="S319" s="66">
        <v>1571630</v>
      </c>
      <c r="T319" s="463">
        <f t="shared" si="236"/>
        <v>18850</v>
      </c>
      <c r="U319" s="66">
        <v>350282</v>
      </c>
      <c r="V319" s="463">
        <f t="shared" si="233"/>
        <v>1596</v>
      </c>
      <c r="W319" s="66">
        <v>1327420</v>
      </c>
      <c r="X319" s="463">
        <f t="shared" si="234"/>
        <v>15080</v>
      </c>
      <c r="Y319" s="66">
        <v>647480</v>
      </c>
      <c r="Z319" s="463">
        <f t="shared" si="237"/>
        <v>9420</v>
      </c>
      <c r="AA319" s="66">
        <v>1596290</v>
      </c>
      <c r="AB319" s="463">
        <f t="shared" si="238"/>
        <v>21110</v>
      </c>
      <c r="AC319" s="386">
        <f t="shared" si="251"/>
        <v>465862.84491978533</v>
      </c>
      <c r="AD319" s="162">
        <f>Rates!$E$31</f>
        <v>0.0635</v>
      </c>
      <c r="AE319" s="387">
        <f t="shared" si="246"/>
        <v>29582.29065240637</v>
      </c>
      <c r="AF319" s="162"/>
      <c r="AH319" s="147">
        <f t="shared" si="252"/>
        <v>381816.84491978533</v>
      </c>
      <c r="AI319" s="186">
        <f t="shared" si="253"/>
        <v>24245.36965240637</v>
      </c>
      <c r="AJ319" s="187">
        <f t="shared" si="254"/>
        <v>84046</v>
      </c>
      <c r="AK319" s="186">
        <f t="shared" si="255"/>
        <v>5336.921</v>
      </c>
    </row>
    <row r="320" spans="1:37" s="54" customFormat="1" ht="12.75">
      <c r="A320" s="127">
        <v>40483</v>
      </c>
      <c r="B320" s="178">
        <v>40497</v>
      </c>
      <c r="C320" s="250">
        <v>17092.12</v>
      </c>
      <c r="D320" s="468">
        <f t="shared" si="230"/>
        <v>589.6399999999994</v>
      </c>
      <c r="E320" s="479" t="s">
        <v>68</v>
      </c>
      <c r="F320" s="168">
        <v>75</v>
      </c>
      <c r="G320" s="250">
        <v>44384.68</v>
      </c>
      <c r="H320" s="468">
        <v>500</v>
      </c>
      <c r="I320" s="58"/>
      <c r="J320" s="456"/>
      <c r="K320" s="58">
        <v>172850.29</v>
      </c>
      <c r="L320" s="468">
        <f t="shared" si="228"/>
        <v>2440.3300000000163</v>
      </c>
      <c r="M320" s="67"/>
      <c r="N320" s="83"/>
      <c r="O320" s="58">
        <v>842310</v>
      </c>
      <c r="P320" s="468">
        <f t="shared" si="215"/>
        <v>8770</v>
      </c>
      <c r="Q320" s="58">
        <v>1364480</v>
      </c>
      <c r="R320" s="468">
        <f t="shared" si="235"/>
        <v>8640</v>
      </c>
      <c r="S320" s="58">
        <v>1590790</v>
      </c>
      <c r="T320" s="468">
        <f t="shared" si="236"/>
        <v>19160</v>
      </c>
      <c r="U320" s="58">
        <v>350437</v>
      </c>
      <c r="V320" s="468">
        <f t="shared" si="233"/>
        <v>155</v>
      </c>
      <c r="W320" s="58">
        <v>1344990</v>
      </c>
      <c r="X320" s="468">
        <f t="shared" si="234"/>
        <v>17570</v>
      </c>
      <c r="Y320" s="58">
        <v>657000</v>
      </c>
      <c r="Z320" s="468">
        <f t="shared" si="237"/>
        <v>9520</v>
      </c>
      <c r="AA320" s="58">
        <v>1619580</v>
      </c>
      <c r="AB320" s="468">
        <f t="shared" si="238"/>
        <v>23290</v>
      </c>
      <c r="AC320" s="188">
        <f t="shared" si="251"/>
        <v>569052.860962569</v>
      </c>
      <c r="AD320" s="164">
        <f>Rates!$E$31</f>
        <v>0.0635</v>
      </c>
      <c r="AE320" s="387">
        <f t="shared" si="246"/>
        <v>36134.85667112313</v>
      </c>
      <c r="AF320" s="164"/>
      <c r="AH320" s="256">
        <f t="shared" si="252"/>
        <v>481947.86096256896</v>
      </c>
      <c r="AI320" s="257">
        <f t="shared" si="253"/>
        <v>30603.68917112313</v>
      </c>
      <c r="AJ320" s="258">
        <f t="shared" si="254"/>
        <v>87105</v>
      </c>
      <c r="AK320" s="257">
        <f t="shared" si="255"/>
        <v>5531.1675000000005</v>
      </c>
    </row>
    <row r="321" spans="1:37" s="76" customFormat="1" ht="13.5" thickBot="1">
      <c r="A321" s="127">
        <v>40513</v>
      </c>
      <c r="B321" s="116">
        <v>40526</v>
      </c>
      <c r="C321" s="191">
        <v>17559.98</v>
      </c>
      <c r="D321" s="471">
        <f t="shared" si="230"/>
        <v>467.8600000000006</v>
      </c>
      <c r="E321" s="480" t="s">
        <v>68</v>
      </c>
      <c r="F321" s="490">
        <v>75</v>
      </c>
      <c r="G321" s="193">
        <v>44392.92</v>
      </c>
      <c r="H321" s="471">
        <v>500</v>
      </c>
      <c r="I321" s="191"/>
      <c r="J321" s="474"/>
      <c r="K321" s="191">
        <v>174805.24</v>
      </c>
      <c r="L321" s="471">
        <f t="shared" si="228"/>
        <v>1954.9499999999825</v>
      </c>
      <c r="M321" s="193"/>
      <c r="N321" s="194"/>
      <c r="O321" s="60">
        <v>850420</v>
      </c>
      <c r="P321" s="471">
        <f t="shared" si="215"/>
        <v>8110</v>
      </c>
      <c r="Q321" s="60">
        <v>1370470</v>
      </c>
      <c r="R321" s="471">
        <f t="shared" si="235"/>
        <v>5990</v>
      </c>
      <c r="S321" s="60">
        <v>1605470</v>
      </c>
      <c r="T321" s="471">
        <f t="shared" si="236"/>
        <v>14680</v>
      </c>
      <c r="U321" s="60">
        <v>350571</v>
      </c>
      <c r="V321" s="471">
        <f t="shared" si="233"/>
        <v>134</v>
      </c>
      <c r="W321" s="60">
        <v>1358700</v>
      </c>
      <c r="X321" s="471">
        <f t="shared" si="234"/>
        <v>13710</v>
      </c>
      <c r="Y321" s="60">
        <v>664340</v>
      </c>
      <c r="Z321" s="471">
        <f t="shared" si="237"/>
        <v>7340</v>
      </c>
      <c r="AA321" s="60">
        <v>1638780</v>
      </c>
      <c r="AB321" s="471">
        <f t="shared" si="238"/>
        <v>19200</v>
      </c>
      <c r="AC321" s="388">
        <f t="shared" si="251"/>
        <v>469940.73796791217</v>
      </c>
      <c r="AD321" s="389">
        <f>Rates!$E$31</f>
        <v>0.0635</v>
      </c>
      <c r="AE321" s="390">
        <f t="shared" si="246"/>
        <v>29841.236860962425</v>
      </c>
      <c r="AF321" s="391">
        <f>SUM(AE319:AE321)</f>
        <v>95558.38418449192</v>
      </c>
      <c r="AH321" s="147">
        <f t="shared" si="252"/>
        <v>400776.73796791217</v>
      </c>
      <c r="AI321" s="186">
        <f t="shared" si="253"/>
        <v>25449.322860962424</v>
      </c>
      <c r="AJ321" s="187">
        <f t="shared" si="254"/>
        <v>69164</v>
      </c>
      <c r="AK321" s="186">
        <f t="shared" si="255"/>
        <v>4391.914</v>
      </c>
    </row>
    <row r="322" spans="1:37" s="54" customFormat="1" ht="12.75">
      <c r="A322" s="127">
        <v>40544</v>
      </c>
      <c r="B322" s="178"/>
      <c r="C322" s="263"/>
      <c r="D322" s="463"/>
      <c r="E322" s="475" t="s">
        <v>68</v>
      </c>
      <c r="F322" s="168">
        <v>75</v>
      </c>
      <c r="G322" s="263"/>
      <c r="H322" s="463"/>
      <c r="I322" s="66"/>
      <c r="J322" s="467"/>
      <c r="K322" s="66"/>
      <c r="L322" s="463"/>
      <c r="M322" s="67"/>
      <c r="N322" s="63"/>
      <c r="O322" s="66"/>
      <c r="P322" s="463"/>
      <c r="Q322" s="66"/>
      <c r="R322" s="463"/>
      <c r="S322" s="66"/>
      <c r="T322" s="463"/>
      <c r="U322" s="66"/>
      <c r="V322" s="463"/>
      <c r="W322" s="66"/>
      <c r="X322" s="463"/>
      <c r="Y322" s="66"/>
      <c r="Z322" s="463"/>
      <c r="AA322" s="66"/>
      <c r="AB322" s="463"/>
      <c r="AC322" s="386"/>
      <c r="AD322" s="162"/>
      <c r="AE322" s="387"/>
      <c r="AF322" s="162"/>
      <c r="AH322" s="147">
        <f t="shared" si="252"/>
        <v>10026.737967914438</v>
      </c>
      <c r="AI322" s="186">
        <f t="shared" si="253"/>
        <v>0</v>
      </c>
      <c r="AJ322" s="187">
        <f t="shared" si="254"/>
        <v>0</v>
      </c>
      <c r="AK322" s="186">
        <f t="shared" si="255"/>
        <v>0</v>
      </c>
    </row>
    <row r="323" spans="1:37" s="54" customFormat="1" ht="12.75">
      <c r="A323" s="127">
        <v>40575</v>
      </c>
      <c r="B323" s="178"/>
      <c r="C323" s="250"/>
      <c r="D323" s="468"/>
      <c r="E323" s="479" t="s">
        <v>68</v>
      </c>
      <c r="F323" s="168">
        <v>75</v>
      </c>
      <c r="G323" s="250"/>
      <c r="H323" s="468"/>
      <c r="I323" s="58"/>
      <c r="J323" s="456"/>
      <c r="K323" s="58"/>
      <c r="L323" s="468"/>
      <c r="M323" s="67"/>
      <c r="N323" s="83"/>
      <c r="O323" s="58"/>
      <c r="P323" s="468"/>
      <c r="Q323" s="58"/>
      <c r="R323" s="468"/>
      <c r="S323" s="58"/>
      <c r="T323" s="468"/>
      <c r="U323" s="58"/>
      <c r="V323" s="468"/>
      <c r="W323" s="58"/>
      <c r="X323" s="468"/>
      <c r="Y323" s="58"/>
      <c r="Z323" s="468"/>
      <c r="AA323" s="58"/>
      <c r="AB323" s="468"/>
      <c r="AC323" s="188"/>
      <c r="AD323" s="164"/>
      <c r="AE323" s="387"/>
      <c r="AF323" s="164"/>
      <c r="AH323" s="256">
        <f t="shared" si="252"/>
        <v>10026.737967914438</v>
      </c>
      <c r="AI323" s="257">
        <f t="shared" si="253"/>
        <v>0</v>
      </c>
      <c r="AJ323" s="258">
        <f t="shared" si="254"/>
        <v>0</v>
      </c>
      <c r="AK323" s="257">
        <f t="shared" si="255"/>
        <v>0</v>
      </c>
    </row>
    <row r="324" spans="1:37" s="76" customFormat="1" ht="13.5" thickBot="1">
      <c r="A324" s="127">
        <v>40603</v>
      </c>
      <c r="B324" s="116"/>
      <c r="C324" s="191"/>
      <c r="D324" s="471"/>
      <c r="E324" s="480" t="s">
        <v>68</v>
      </c>
      <c r="F324" s="168">
        <v>75</v>
      </c>
      <c r="G324" s="193"/>
      <c r="H324" s="471"/>
      <c r="I324" s="191"/>
      <c r="J324" s="474"/>
      <c r="K324" s="191"/>
      <c r="L324" s="471"/>
      <c r="M324" s="193"/>
      <c r="N324" s="194"/>
      <c r="O324" s="60"/>
      <c r="P324" s="471"/>
      <c r="Q324" s="60"/>
      <c r="R324" s="471"/>
      <c r="S324" s="60"/>
      <c r="T324" s="471"/>
      <c r="U324" s="60"/>
      <c r="V324" s="471"/>
      <c r="W324" s="60"/>
      <c r="X324" s="471"/>
      <c r="Y324" s="60"/>
      <c r="Z324" s="471"/>
      <c r="AA324" s="60"/>
      <c r="AB324" s="471"/>
      <c r="AC324" s="388"/>
      <c r="AD324" s="389"/>
      <c r="AE324" s="390"/>
      <c r="AF324" s="391"/>
      <c r="AH324" s="147">
        <f t="shared" si="252"/>
        <v>10026.737967914438</v>
      </c>
      <c r="AI324" s="186">
        <f t="shared" si="253"/>
        <v>0</v>
      </c>
      <c r="AJ324" s="187">
        <f t="shared" si="254"/>
        <v>0</v>
      </c>
      <c r="AK324" s="186">
        <f t="shared" si="255"/>
        <v>0</v>
      </c>
    </row>
    <row r="325" spans="1:37" s="54" customFormat="1" ht="12.75">
      <c r="A325" s="127">
        <v>40634</v>
      </c>
      <c r="B325" s="178"/>
      <c r="C325" s="263"/>
      <c r="D325" s="463"/>
      <c r="E325" s="475" t="s">
        <v>68</v>
      </c>
      <c r="F325" s="493">
        <v>50</v>
      </c>
      <c r="G325" s="263"/>
      <c r="H325" s="463"/>
      <c r="I325" s="66"/>
      <c r="J325" s="467"/>
      <c r="K325" s="66"/>
      <c r="L325" s="463"/>
      <c r="M325" s="67"/>
      <c r="N325" s="63"/>
      <c r="O325" s="66"/>
      <c r="P325" s="463"/>
      <c r="Q325" s="66"/>
      <c r="R325" s="463"/>
      <c r="S325" s="66"/>
      <c r="T325" s="463"/>
      <c r="U325" s="66"/>
      <c r="V325" s="463"/>
      <c r="W325" s="66"/>
      <c r="X325" s="463"/>
      <c r="Y325" s="66"/>
      <c r="Z325" s="463"/>
      <c r="AA325" s="66"/>
      <c r="AB325" s="463"/>
      <c r="AC325" s="386"/>
      <c r="AD325" s="162"/>
      <c r="AE325" s="387"/>
      <c r="AF325" s="162"/>
      <c r="AH325" s="256">
        <f t="shared" si="252"/>
        <v>6684.491978609625</v>
      </c>
      <c r="AI325" s="257">
        <f t="shared" si="253"/>
        <v>0</v>
      </c>
      <c r="AJ325" s="258">
        <f t="shared" si="254"/>
        <v>0</v>
      </c>
      <c r="AK325" s="257">
        <f t="shared" si="255"/>
        <v>0</v>
      </c>
    </row>
    <row r="326" spans="1:37" s="54" customFormat="1" ht="12.75">
      <c r="A326" s="127">
        <v>40664</v>
      </c>
      <c r="B326" s="178"/>
      <c r="C326" s="250"/>
      <c r="D326" s="468"/>
      <c r="E326" s="479" t="s">
        <v>68</v>
      </c>
      <c r="F326" s="168">
        <v>10</v>
      </c>
      <c r="G326" s="250"/>
      <c r="H326" s="468"/>
      <c r="I326" s="58"/>
      <c r="J326" s="456"/>
      <c r="K326" s="58"/>
      <c r="L326" s="468"/>
      <c r="M326" s="67"/>
      <c r="N326" s="83"/>
      <c r="O326" s="58"/>
      <c r="P326" s="468"/>
      <c r="Q326" s="58"/>
      <c r="R326" s="468"/>
      <c r="S326" s="58"/>
      <c r="T326" s="468"/>
      <c r="U326" s="58"/>
      <c r="V326" s="468"/>
      <c r="W326" s="58"/>
      <c r="X326" s="468"/>
      <c r="Y326" s="58"/>
      <c r="Z326" s="468"/>
      <c r="AA326" s="58"/>
      <c r="AB326" s="468"/>
      <c r="AC326" s="188"/>
      <c r="AD326" s="164"/>
      <c r="AE326" s="387"/>
      <c r="AF326" s="164"/>
      <c r="AH326" s="147">
        <f t="shared" si="252"/>
        <v>1336.898395721925</v>
      </c>
      <c r="AI326" s="186">
        <f t="shared" si="253"/>
        <v>0</v>
      </c>
      <c r="AJ326" s="187">
        <f t="shared" si="254"/>
        <v>0</v>
      </c>
      <c r="AK326" s="186">
        <f t="shared" si="255"/>
        <v>0</v>
      </c>
    </row>
    <row r="327" spans="1:37" s="76" customFormat="1" ht="13.5" thickBot="1">
      <c r="A327" s="127">
        <v>40695</v>
      </c>
      <c r="B327" s="116"/>
      <c r="C327" s="191"/>
      <c r="D327" s="471"/>
      <c r="E327" s="480" t="s">
        <v>68</v>
      </c>
      <c r="F327" s="490">
        <v>5</v>
      </c>
      <c r="G327" s="193"/>
      <c r="H327" s="471"/>
      <c r="I327" s="191"/>
      <c r="J327" s="474"/>
      <c r="K327" s="191"/>
      <c r="L327" s="471"/>
      <c r="M327" s="193"/>
      <c r="N327" s="194"/>
      <c r="O327" s="60"/>
      <c r="P327" s="471"/>
      <c r="Q327" s="60"/>
      <c r="R327" s="471"/>
      <c r="S327" s="60"/>
      <c r="T327" s="471"/>
      <c r="U327" s="60"/>
      <c r="V327" s="471"/>
      <c r="W327" s="60"/>
      <c r="X327" s="471"/>
      <c r="Y327" s="60"/>
      <c r="Z327" s="471"/>
      <c r="AA327" s="60"/>
      <c r="AB327" s="471"/>
      <c r="AC327" s="388"/>
      <c r="AD327" s="389"/>
      <c r="AE327" s="390"/>
      <c r="AF327" s="391"/>
      <c r="AH327" s="147">
        <f t="shared" si="252"/>
        <v>668.4491978609625</v>
      </c>
      <c r="AI327" s="186">
        <f t="shared" si="253"/>
        <v>0</v>
      </c>
      <c r="AJ327" s="187">
        <f t="shared" si="254"/>
        <v>0</v>
      </c>
      <c r="AK327" s="186">
        <f t="shared" si="255"/>
        <v>0</v>
      </c>
    </row>
    <row r="328" spans="1:37" s="76" customFormat="1" ht="13.5" thickBot="1">
      <c r="A328" s="446" t="s">
        <v>137</v>
      </c>
      <c r="B328" s="329"/>
      <c r="C328" s="330"/>
      <c r="D328" s="331">
        <f>SUM(D304:D315)</f>
        <v>3464.92</v>
      </c>
      <c r="E328" s="331"/>
      <c r="F328" s="331">
        <f>SUM(F304:F315)</f>
        <v>60</v>
      </c>
      <c r="G328" s="331"/>
      <c r="H328" s="331">
        <f>SUM(H304:H315)</f>
        <v>4571.949999999997</v>
      </c>
      <c r="I328" s="331"/>
      <c r="J328" s="331"/>
      <c r="K328" s="331"/>
      <c r="L328" s="331">
        <f>SUM(L304:L315)</f>
        <v>22081.709999999992</v>
      </c>
      <c r="M328" s="331"/>
      <c r="N328" s="331"/>
      <c r="O328" s="331"/>
      <c r="P328" s="331">
        <f>SUM(P304:P315)</f>
        <v>89240</v>
      </c>
      <c r="Q328" s="330"/>
      <c r="R328" s="331">
        <f>SUM(R304:R315)</f>
        <v>233340</v>
      </c>
      <c r="S328" s="330"/>
      <c r="T328" s="331">
        <f>SUM(T304:T315)</f>
        <v>177390</v>
      </c>
      <c r="U328" s="330"/>
      <c r="V328" s="331">
        <f>SUM(V304:V315)</f>
        <v>33072</v>
      </c>
      <c r="W328" s="330"/>
      <c r="X328" s="331">
        <f>SUM(X304:X315)</f>
        <v>255890</v>
      </c>
      <c r="Y328" s="330"/>
      <c r="Z328" s="331">
        <f>SUM(Z304:Z315)</f>
        <v>74670</v>
      </c>
      <c r="AA328" s="330"/>
      <c r="AB328" s="331">
        <f>SUM(AB304:AB315)</f>
        <v>175570</v>
      </c>
      <c r="AC328" s="331">
        <f>SUM(AC292:AC303)</f>
        <v>5465291.686299268</v>
      </c>
      <c r="AD328" s="332"/>
      <c r="AE328" s="333" t="s">
        <v>34</v>
      </c>
      <c r="AF328" s="334">
        <f>SUM(AF292:AF303)</f>
        <v>216972.07994608092</v>
      </c>
      <c r="AH328" s="256"/>
      <c r="AI328" s="257"/>
      <c r="AJ328" s="258"/>
      <c r="AK328" s="257"/>
    </row>
    <row r="329" spans="1:37" s="76" customFormat="1" ht="12.75">
      <c r="A329" s="447" t="s">
        <v>135</v>
      </c>
      <c r="B329" s="448"/>
      <c r="C329" s="449"/>
      <c r="D329" s="450">
        <f>SUM(D292:D303)</f>
        <v>2925.01</v>
      </c>
      <c r="E329" s="450"/>
      <c r="F329" s="450">
        <f>SUM(F292:F303)</f>
        <v>640</v>
      </c>
      <c r="G329" s="450"/>
      <c r="H329" s="450">
        <f>SUM(H292:H303)</f>
        <v>6718.512893518519</v>
      </c>
      <c r="I329" s="450"/>
      <c r="J329" s="450"/>
      <c r="K329" s="450"/>
      <c r="L329" s="450">
        <f>SUM(L292:L303)</f>
        <v>23128.61</v>
      </c>
      <c r="M329" s="450"/>
      <c r="N329" s="450"/>
      <c r="O329" s="450"/>
      <c r="P329" s="450">
        <f>SUM(P292:P303)</f>
        <v>139770</v>
      </c>
      <c r="Q329" s="450"/>
      <c r="R329" s="450">
        <f>SUM(R292:R303)</f>
        <v>152890</v>
      </c>
      <c r="S329" s="450"/>
      <c r="T329" s="450">
        <f>SUM(T292:T303)</f>
        <v>220610</v>
      </c>
      <c r="U329" s="450"/>
      <c r="V329" s="450">
        <f>SUM(V292:V303)</f>
        <v>43029</v>
      </c>
      <c r="W329" s="450"/>
      <c r="X329" s="450">
        <f>SUM(X292:X303)</f>
        <v>145210</v>
      </c>
      <c r="Y329" s="450"/>
      <c r="Z329" s="450">
        <f>SUM(Z292:Z303)</f>
        <v>90460</v>
      </c>
      <c r="AA329" s="450"/>
      <c r="AB329" s="450">
        <f>SUM(AB292:AB303)</f>
        <v>206460</v>
      </c>
      <c r="AC329" s="450">
        <f>SUM(AC280:AC291)</f>
        <v>5786578.331550803</v>
      </c>
      <c r="AF329" s="451">
        <f>SUM(AF280:AF291)</f>
        <v>211788.76693475936</v>
      </c>
      <c r="AH329" s="256"/>
      <c r="AI329" s="257"/>
      <c r="AJ329" s="258"/>
      <c r="AK329" s="257"/>
    </row>
    <row r="330" spans="2:66" s="76" customFormat="1" ht="12.75">
      <c r="B330" s="394"/>
      <c r="C330" s="335"/>
      <c r="D330" s="335"/>
      <c r="E330" s="335"/>
      <c r="F330" s="335"/>
      <c r="G330" s="335"/>
      <c r="H330" s="335"/>
      <c r="I330" s="335"/>
      <c r="J330" s="335"/>
      <c r="K330" s="335"/>
      <c r="L330" s="335"/>
      <c r="M330" s="335"/>
      <c r="N330" s="335"/>
      <c r="O330" s="211" t="s">
        <v>88</v>
      </c>
      <c r="P330" s="202"/>
      <c r="R330" s="202"/>
      <c r="T330" s="211" t="s">
        <v>89</v>
      </c>
      <c r="V330" s="202"/>
      <c r="X330" s="202"/>
      <c r="Z330" s="202"/>
      <c r="AB330" s="202"/>
      <c r="AC330" s="395"/>
      <c r="AE330" s="213"/>
      <c r="AF330" s="213"/>
      <c r="AJ330" s="335"/>
      <c r="AK330" s="335"/>
      <c r="AL330" s="335"/>
      <c r="AM330" s="335"/>
      <c r="AN330" s="335"/>
      <c r="AO330" s="335"/>
      <c r="AP330" s="335"/>
      <c r="AQ330" s="335"/>
      <c r="AR330" s="335"/>
      <c r="AS330" s="335"/>
      <c r="AT330" s="335"/>
      <c r="AU330" s="335"/>
      <c r="AV330" s="335"/>
      <c r="AW330" s="335"/>
      <c r="AX330" s="335"/>
      <c r="AY330" s="335"/>
      <c r="AZ330" s="335"/>
      <c r="BA330" s="335"/>
      <c r="BB330" s="335"/>
      <c r="BC330" s="335"/>
      <c r="BD330" s="335"/>
      <c r="BE330" s="335"/>
      <c r="BF330" s="335"/>
      <c r="BG330" s="335"/>
      <c r="BH330" s="335"/>
      <c r="BI330" s="335"/>
      <c r="BJ330" s="335"/>
      <c r="BK330" s="75"/>
      <c r="BM330" s="392"/>
      <c r="BN330" s="393"/>
    </row>
    <row r="331" spans="2:32" s="76" customFormat="1" ht="12.75">
      <c r="B331" s="82" t="s">
        <v>77</v>
      </c>
      <c r="C331" s="75">
        <f>42552+43305</f>
        <v>85857</v>
      </c>
      <c r="D331" s="77">
        <f>D328/C331*AD255</f>
        <v>0.002562661402098839</v>
      </c>
      <c r="E331" s="75">
        <v>61926</v>
      </c>
      <c r="F331" s="77">
        <f>F328/E331*AD255</f>
        <v>6.152504602267222E-05</v>
      </c>
      <c r="G331" s="78">
        <v>143872</v>
      </c>
      <c r="H331" s="77">
        <f>H328/G331*AD255</f>
        <v>0.0020178966372887</v>
      </c>
      <c r="I331" s="78">
        <v>177571</v>
      </c>
      <c r="J331" s="77">
        <f>L328/I331*AD255</f>
        <v>0.007896495401839261</v>
      </c>
      <c r="K331" s="75"/>
      <c r="M331" s="79"/>
      <c r="N331" s="80"/>
      <c r="AC331" s="213"/>
      <c r="AE331" s="213"/>
      <c r="AF331" s="213" t="s">
        <v>90</v>
      </c>
    </row>
    <row r="332" spans="1:32" s="401" customFormat="1" ht="14.25">
      <c r="A332" s="76"/>
      <c r="B332" s="336" t="s">
        <v>130</v>
      </c>
      <c r="C332" s="342"/>
      <c r="D332" s="342"/>
      <c r="E332" s="342"/>
      <c r="F332" s="342"/>
      <c r="G332" s="342"/>
      <c r="H332" s="342"/>
      <c r="I332" s="342"/>
      <c r="J332" s="342"/>
      <c r="K332" s="396"/>
      <c r="L332" s="397"/>
      <c r="M332" s="398"/>
      <c r="N332" s="398"/>
      <c r="O332" s="399" t="s">
        <v>91</v>
      </c>
      <c r="P332" s="399"/>
      <c r="Q332" s="399"/>
      <c r="R332" s="399"/>
      <c r="S332" s="400" t="s">
        <v>92</v>
      </c>
      <c r="T332" s="400"/>
      <c r="U332" s="400" t="s">
        <v>93</v>
      </c>
      <c r="V332" s="400"/>
      <c r="W332" s="400" t="s">
        <v>94</v>
      </c>
      <c r="X332" s="400"/>
      <c r="Y332" s="400" t="s">
        <v>95</v>
      </c>
      <c r="Z332" s="400"/>
      <c r="AC332" s="402" t="s">
        <v>96</v>
      </c>
      <c r="AD332" s="403"/>
      <c r="AE332" s="403"/>
      <c r="AF332" s="404">
        <v>6720</v>
      </c>
    </row>
    <row r="333" spans="1:32" s="115" customFormat="1" ht="15" thickBot="1">
      <c r="A333" s="401"/>
      <c r="B333" s="336" t="s">
        <v>131</v>
      </c>
      <c r="C333" s="342"/>
      <c r="D333" s="342"/>
      <c r="E333" s="342"/>
      <c r="F333" s="342"/>
      <c r="G333" s="342"/>
      <c r="H333" s="342"/>
      <c r="I333" s="342"/>
      <c r="J333" s="342"/>
      <c r="K333" s="398"/>
      <c r="L333" s="397"/>
      <c r="M333" s="398"/>
      <c r="N333" s="398"/>
      <c r="O333" s="342" t="s">
        <v>97</v>
      </c>
      <c r="P333" s="405">
        <v>148123</v>
      </c>
      <c r="Q333" s="342" t="s">
        <v>98</v>
      </c>
      <c r="R333" s="342"/>
      <c r="S333" s="405">
        <f>SUM(P328:AB328)</f>
        <v>1039172</v>
      </c>
      <c r="T333" s="356"/>
      <c r="U333" s="406">
        <f>S333/P333</f>
        <v>7.015601898422257</v>
      </c>
      <c r="V333" s="406"/>
      <c r="W333" s="342" t="s">
        <v>99</v>
      </c>
      <c r="X333" s="342"/>
      <c r="Y333" s="180">
        <f>S333*AD303</f>
        <v>41255.12840000001</v>
      </c>
      <c r="Z333" s="180"/>
      <c r="AC333" s="407" t="s">
        <v>100</v>
      </c>
      <c r="AD333" s="408"/>
      <c r="AE333" s="408"/>
      <c r="AF333" s="409">
        <v>9600</v>
      </c>
    </row>
    <row r="334" spans="2:32" s="115" customFormat="1" ht="15" thickBot="1">
      <c r="B334" s="336"/>
      <c r="C334" s="342"/>
      <c r="D334" s="342"/>
      <c r="E334" s="342"/>
      <c r="F334" s="342"/>
      <c r="G334" s="342"/>
      <c r="H334" s="342"/>
      <c r="I334" s="342"/>
      <c r="J334" s="342"/>
      <c r="K334" s="398"/>
      <c r="L334" s="397"/>
      <c r="M334" s="398"/>
      <c r="N334" s="398"/>
      <c r="O334" s="342" t="s">
        <v>101</v>
      </c>
      <c r="P334" s="405">
        <v>47464</v>
      </c>
      <c r="Q334" s="342" t="s">
        <v>98</v>
      </c>
      <c r="R334" s="342"/>
      <c r="S334" s="405">
        <f>P334*U334</f>
        <v>332988.528506714</v>
      </c>
      <c r="T334" s="356"/>
      <c r="U334" s="406">
        <f>U333</f>
        <v>7.015601898422257</v>
      </c>
      <c r="V334" s="356"/>
      <c r="W334" s="342" t="s">
        <v>102</v>
      </c>
      <c r="X334" s="342"/>
      <c r="Y334" s="520">
        <f>S334*AD303</f>
        <v>13219.644581716548</v>
      </c>
      <c r="Z334" s="180"/>
      <c r="AC334" s="407" t="s">
        <v>103</v>
      </c>
      <c r="AD334" s="408"/>
      <c r="AE334" s="408"/>
      <c r="AF334" s="409">
        <v>9332</v>
      </c>
    </row>
    <row r="335" spans="1:32" ht="14.25">
      <c r="A335" s="115"/>
      <c r="B335" s="336"/>
      <c r="K335" s="398"/>
      <c r="L335" s="397"/>
      <c r="M335" s="398"/>
      <c r="N335" s="398"/>
      <c r="O335" s="342"/>
      <c r="Q335" s="342"/>
      <c r="R335" s="342"/>
      <c r="AC335" s="410" t="s">
        <v>104</v>
      </c>
      <c r="AD335" s="411"/>
      <c r="AE335" s="411"/>
      <c r="AF335" s="412">
        <v>12480</v>
      </c>
    </row>
    <row r="336" spans="2:32" ht="14.25">
      <c r="B336" s="336"/>
      <c r="K336" s="398"/>
      <c r="L336" s="397"/>
      <c r="M336" s="398"/>
      <c r="N336" s="398"/>
      <c r="O336" s="342"/>
      <c r="Q336" s="342"/>
      <c r="R336" s="342"/>
      <c r="AC336" s="413"/>
      <c r="AD336" s="413"/>
      <c r="AE336" s="356" t="s">
        <v>105</v>
      </c>
      <c r="AF336" s="405">
        <f>SUM(AF332:AF335)</f>
        <v>38132</v>
      </c>
    </row>
    <row r="337" spans="1:37" s="76" customFormat="1" ht="16.5" thickBot="1">
      <c r="A337" s="342"/>
      <c r="B337" s="342"/>
      <c r="C337" s="476" t="s">
        <v>44</v>
      </c>
      <c r="D337" s="514"/>
      <c r="AH337" s="526"/>
      <c r="AI337" s="526"/>
      <c r="AJ337" s="526"/>
      <c r="AK337" s="526"/>
    </row>
    <row r="338" spans="1:37" s="211" customFormat="1" ht="25.5">
      <c r="A338" s="214" t="s">
        <v>79</v>
      </c>
      <c r="B338" s="215" t="s">
        <v>23</v>
      </c>
      <c r="C338" s="528" t="s">
        <v>40</v>
      </c>
      <c r="D338" s="529"/>
      <c r="E338" s="528"/>
      <c r="F338" s="529"/>
      <c r="G338" s="528" t="s">
        <v>41</v>
      </c>
      <c r="H338" s="529"/>
      <c r="I338" s="528"/>
      <c r="J338" s="529"/>
      <c r="K338" s="528" t="s">
        <v>132</v>
      </c>
      <c r="L338" s="529"/>
      <c r="AC338" s="217" t="s">
        <v>26</v>
      </c>
      <c r="AD338" s="218" t="s">
        <v>24</v>
      </c>
      <c r="AE338" s="217" t="s">
        <v>31</v>
      </c>
      <c r="AF338" s="217" t="s">
        <v>33</v>
      </c>
      <c r="AH338" s="415"/>
      <c r="AI338" s="415"/>
      <c r="AJ338" s="415"/>
      <c r="AK338" s="415"/>
    </row>
    <row r="339" spans="1:37" s="211" customFormat="1" ht="13.5" thickBot="1">
      <c r="A339" s="121"/>
      <c r="B339" s="116"/>
      <c r="C339" s="225" t="s">
        <v>20</v>
      </c>
      <c r="D339" s="226" t="s">
        <v>45</v>
      </c>
      <c r="E339" s="225"/>
      <c r="F339" s="226"/>
      <c r="G339" s="225" t="s">
        <v>20</v>
      </c>
      <c r="H339" s="226" t="s">
        <v>45</v>
      </c>
      <c r="I339" s="225"/>
      <c r="J339" s="226"/>
      <c r="K339" s="225" t="s">
        <v>20</v>
      </c>
      <c r="L339" s="226" t="s">
        <v>45</v>
      </c>
      <c r="AC339" s="362" t="s">
        <v>45</v>
      </c>
      <c r="AD339" s="227" t="s">
        <v>46</v>
      </c>
      <c r="AE339" s="227" t="s">
        <v>32</v>
      </c>
      <c r="AF339" s="363"/>
      <c r="AH339" s="416"/>
      <c r="AI339" s="414"/>
      <c r="AJ339" s="416"/>
      <c r="AK339" s="414"/>
    </row>
    <row r="340" spans="1:37" s="76" customFormat="1" ht="12.75">
      <c r="A340" s="121"/>
      <c r="B340" s="116"/>
      <c r="C340" s="250"/>
      <c r="D340" s="192"/>
      <c r="E340" s="250"/>
      <c r="F340" s="192"/>
      <c r="G340" s="250"/>
      <c r="H340" s="192"/>
      <c r="I340" s="250"/>
      <c r="J340" s="192"/>
      <c r="K340" s="250"/>
      <c r="L340" s="192"/>
      <c r="O340" s="213"/>
      <c r="AC340" s="265"/>
      <c r="AD340" s="348"/>
      <c r="AE340" s="366"/>
      <c r="AF340" s="365"/>
      <c r="AH340" s="417"/>
      <c r="AI340" s="417"/>
      <c r="AJ340" s="417"/>
      <c r="AK340" s="417"/>
    </row>
    <row r="341" spans="1:37" s="76" customFormat="1" ht="12.75">
      <c r="A341" s="121">
        <v>37712</v>
      </c>
      <c r="B341" s="116">
        <v>37741</v>
      </c>
      <c r="C341" s="250">
        <v>1820</v>
      </c>
      <c r="D341" s="192"/>
      <c r="E341" s="250"/>
      <c r="F341" s="192"/>
      <c r="G341" s="250"/>
      <c r="H341" s="192"/>
      <c r="I341" s="250"/>
      <c r="J341" s="192"/>
      <c r="K341" s="250">
        <v>8936</v>
      </c>
      <c r="L341" s="192"/>
      <c r="O341" s="213"/>
      <c r="AC341" s="265"/>
      <c r="AD341" s="348"/>
      <c r="AE341" s="366"/>
      <c r="AF341" s="367"/>
      <c r="AH341" s="417"/>
      <c r="AI341" s="417"/>
      <c r="AJ341" s="417"/>
      <c r="AK341" s="417"/>
    </row>
    <row r="342" spans="1:32" s="76" customFormat="1" ht="12.75">
      <c r="A342" s="121">
        <v>37742</v>
      </c>
      <c r="B342" s="116">
        <v>37775</v>
      </c>
      <c r="C342" s="250"/>
      <c r="D342" s="192"/>
      <c r="E342" s="250"/>
      <c r="F342" s="192"/>
      <c r="G342" s="250">
        <v>6324</v>
      </c>
      <c r="H342" s="192">
        <f aca="true" t="shared" si="256" ref="H342:H348">G342-G341</f>
        <v>6324</v>
      </c>
      <c r="I342" s="250"/>
      <c r="J342" s="192"/>
      <c r="K342" s="250">
        <v>9904</v>
      </c>
      <c r="L342" s="192">
        <f>K342-K341</f>
        <v>968</v>
      </c>
      <c r="O342" s="213"/>
      <c r="AC342" s="265">
        <f aca="true" t="shared" si="257" ref="AC342:AC367">D342+H342+L342*$K$3</f>
        <v>7195.2</v>
      </c>
      <c r="AD342" s="348"/>
      <c r="AE342" s="366"/>
      <c r="AF342" s="367"/>
    </row>
    <row r="343" spans="1:32" s="76" customFormat="1" ht="13.5" thickBot="1">
      <c r="A343" s="121">
        <v>37773</v>
      </c>
      <c r="B343" s="116">
        <v>37813</v>
      </c>
      <c r="C343" s="191">
        <v>2147</v>
      </c>
      <c r="D343" s="194"/>
      <c r="E343" s="191"/>
      <c r="F343" s="194"/>
      <c r="G343" s="191">
        <v>6613</v>
      </c>
      <c r="H343" s="194">
        <f t="shared" si="256"/>
        <v>289</v>
      </c>
      <c r="I343" s="191"/>
      <c r="J343" s="194"/>
      <c r="K343" s="191">
        <v>10210</v>
      </c>
      <c r="L343" s="194">
        <f>K343-K342</f>
        <v>306</v>
      </c>
      <c r="O343" s="213"/>
      <c r="AC343" s="349">
        <f t="shared" si="257"/>
        <v>564.4000000000001</v>
      </c>
      <c r="AD343" s="350"/>
      <c r="AE343" s="418"/>
      <c r="AF343" s="419"/>
    </row>
    <row r="344" spans="1:32" s="76" customFormat="1" ht="12.75">
      <c r="A344" s="121">
        <v>37803</v>
      </c>
      <c r="B344" s="116">
        <v>37834</v>
      </c>
      <c r="C344" s="250"/>
      <c r="D344" s="192"/>
      <c r="E344" s="250"/>
      <c r="F344" s="192"/>
      <c r="G344" s="250">
        <v>6667</v>
      </c>
      <c r="H344" s="192">
        <f t="shared" si="256"/>
        <v>54</v>
      </c>
      <c r="I344" s="250"/>
      <c r="J344" s="192"/>
      <c r="K344" s="250">
        <v>10353</v>
      </c>
      <c r="L344" s="192">
        <f>K344-K343</f>
        <v>143</v>
      </c>
      <c r="O344" s="213"/>
      <c r="AC344" s="265">
        <f t="shared" si="257"/>
        <v>182.70000000000002</v>
      </c>
      <c r="AD344" s="420">
        <v>10.395</v>
      </c>
      <c r="AE344" s="253">
        <f>AC344*AD344</f>
        <v>1899.1665</v>
      </c>
      <c r="AF344" s="421"/>
    </row>
    <row r="345" spans="1:32" s="115" customFormat="1" ht="12.75">
      <c r="A345" s="121">
        <v>37834</v>
      </c>
      <c r="B345" s="116">
        <v>37866</v>
      </c>
      <c r="C345" s="250">
        <v>2199</v>
      </c>
      <c r="D345" s="192">
        <f>C345-C343</f>
        <v>52</v>
      </c>
      <c r="E345" s="250"/>
      <c r="F345" s="192"/>
      <c r="G345" s="250">
        <v>6751</v>
      </c>
      <c r="H345" s="192">
        <f t="shared" si="256"/>
        <v>84</v>
      </c>
      <c r="I345" s="250"/>
      <c r="J345" s="192"/>
      <c r="K345" s="250">
        <v>10491</v>
      </c>
      <c r="L345" s="192">
        <f>K345-K344</f>
        <v>138</v>
      </c>
      <c r="M345" s="76"/>
      <c r="N345" s="76"/>
      <c r="O345" s="213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265">
        <f t="shared" si="257"/>
        <v>260.2</v>
      </c>
      <c r="AD345" s="252">
        <v>10.395</v>
      </c>
      <c r="AE345" s="253">
        <f>AC345*AD345</f>
        <v>2704.779</v>
      </c>
      <c r="AF345" s="41"/>
    </row>
    <row r="346" spans="1:32" s="76" customFormat="1" ht="13.5" thickBot="1">
      <c r="A346" s="127">
        <v>37865</v>
      </c>
      <c r="B346" s="116">
        <v>37888</v>
      </c>
      <c r="C346" s="191">
        <v>2258</v>
      </c>
      <c r="D346" s="192">
        <f>C346-C345</f>
        <v>59</v>
      </c>
      <c r="E346" s="191"/>
      <c r="F346" s="192"/>
      <c r="G346" s="191">
        <v>6904</v>
      </c>
      <c r="H346" s="192">
        <f t="shared" si="256"/>
        <v>153</v>
      </c>
      <c r="I346" s="191"/>
      <c r="J346" s="192"/>
      <c r="K346" s="191">
        <v>10589</v>
      </c>
      <c r="L346" s="192">
        <f>K346-K345</f>
        <v>98</v>
      </c>
      <c r="O346" s="213"/>
      <c r="AC346" s="349">
        <f t="shared" si="257"/>
        <v>300.2</v>
      </c>
      <c r="AD346" s="260">
        <v>10.395</v>
      </c>
      <c r="AE346" s="261">
        <f>AC346*AD346</f>
        <v>3120.5789999999997</v>
      </c>
      <c r="AF346" s="261">
        <f>SUM(AE344:AE346)</f>
        <v>7724.5244999999995</v>
      </c>
    </row>
    <row r="347" spans="1:32" s="76" customFormat="1" ht="12.75">
      <c r="A347" s="121">
        <v>37895</v>
      </c>
      <c r="B347" s="178">
        <v>37918</v>
      </c>
      <c r="C347" s="263">
        <v>2600</v>
      </c>
      <c r="D347" s="264">
        <f aca="true" t="shared" si="258" ref="D347:D364">C347-C346</f>
        <v>342</v>
      </c>
      <c r="E347" s="263"/>
      <c r="F347" s="264"/>
      <c r="G347" s="263">
        <v>7710.4</v>
      </c>
      <c r="H347" s="264">
        <f t="shared" si="256"/>
        <v>806.3999999999996</v>
      </c>
      <c r="I347" s="263"/>
      <c r="J347" s="264"/>
      <c r="K347" s="263">
        <v>11720</v>
      </c>
      <c r="L347" s="264">
        <f aca="true" t="shared" si="259" ref="L347:L352">K347-K346</f>
        <v>1131</v>
      </c>
      <c r="AC347" s="265">
        <f t="shared" si="257"/>
        <v>2166.2999999999997</v>
      </c>
      <c r="AD347" s="420">
        <v>10.395</v>
      </c>
      <c r="AE347" s="253">
        <f aca="true" t="shared" si="260" ref="AE347:AE352">AC347*AD347</f>
        <v>22518.688499999997</v>
      </c>
      <c r="AF347" s="421"/>
    </row>
    <row r="348" spans="1:32" s="115" customFormat="1" ht="12.75">
      <c r="A348" s="121">
        <v>37926</v>
      </c>
      <c r="B348" s="122">
        <v>37946</v>
      </c>
      <c r="C348" s="250">
        <v>2980.7</v>
      </c>
      <c r="D348" s="192">
        <f t="shared" si="258"/>
        <v>380.6999999999998</v>
      </c>
      <c r="E348" s="250"/>
      <c r="F348" s="192"/>
      <c r="G348" s="250">
        <v>8294</v>
      </c>
      <c r="H348" s="192">
        <f t="shared" si="256"/>
        <v>583.6000000000004</v>
      </c>
      <c r="I348" s="250"/>
      <c r="J348" s="192"/>
      <c r="K348" s="250">
        <v>13293</v>
      </c>
      <c r="L348" s="192">
        <f t="shared" si="259"/>
        <v>1573</v>
      </c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265">
        <f t="shared" si="257"/>
        <v>2380</v>
      </c>
      <c r="AD348" s="252">
        <v>10.395</v>
      </c>
      <c r="AE348" s="253">
        <f t="shared" si="260"/>
        <v>24740.1</v>
      </c>
      <c r="AF348" s="41"/>
    </row>
    <row r="349" spans="1:32" s="54" customFormat="1" ht="13.5" thickBot="1">
      <c r="A349" s="127">
        <v>37956</v>
      </c>
      <c r="B349" s="114">
        <v>38348</v>
      </c>
      <c r="C349" s="191">
        <v>3601.5</v>
      </c>
      <c r="D349" s="194">
        <f t="shared" si="258"/>
        <v>620.8000000000002</v>
      </c>
      <c r="E349" s="250"/>
      <c r="F349" s="192"/>
      <c r="G349" s="71" t="s">
        <v>75</v>
      </c>
      <c r="H349" s="61">
        <v>1000</v>
      </c>
      <c r="I349" s="58"/>
      <c r="J349" s="59"/>
      <c r="K349" s="58">
        <v>16753.3</v>
      </c>
      <c r="L349" s="59">
        <f t="shared" si="259"/>
        <v>3460.2999999999993</v>
      </c>
      <c r="Q349" s="115"/>
      <c r="R349" s="115"/>
      <c r="S349" s="115"/>
      <c r="T349" s="115"/>
      <c r="U349" s="115"/>
      <c r="V349" s="115"/>
      <c r="W349" s="115"/>
      <c r="X349" s="115"/>
      <c r="AC349" s="81">
        <f t="shared" si="257"/>
        <v>4735.07</v>
      </c>
      <c r="AD349" s="104">
        <v>10.395</v>
      </c>
      <c r="AE349" s="105">
        <f t="shared" si="260"/>
        <v>49221.05265</v>
      </c>
      <c r="AF349" s="105">
        <f>SUM(AE347:AE349)</f>
        <v>96479.84115</v>
      </c>
    </row>
    <row r="350" spans="1:32" s="54" customFormat="1" ht="12.75">
      <c r="A350" s="127">
        <v>37987</v>
      </c>
      <c r="B350" s="114">
        <v>38015</v>
      </c>
      <c r="C350" s="263">
        <v>4104</v>
      </c>
      <c r="D350" s="264">
        <f t="shared" si="258"/>
        <v>502.5</v>
      </c>
      <c r="E350" s="263"/>
      <c r="F350" s="264"/>
      <c r="G350" s="62" t="s">
        <v>75</v>
      </c>
      <c r="H350" s="65">
        <v>900</v>
      </c>
      <c r="I350" s="66"/>
      <c r="J350" s="63"/>
      <c r="K350" s="66">
        <v>19474.5</v>
      </c>
      <c r="L350" s="63">
        <f t="shared" si="259"/>
        <v>2721.2000000000007</v>
      </c>
      <c r="Q350" s="115"/>
      <c r="R350" s="115"/>
      <c r="S350" s="115"/>
      <c r="T350" s="115"/>
      <c r="U350" s="115"/>
      <c r="V350" s="115"/>
      <c r="W350" s="115"/>
      <c r="X350" s="115"/>
      <c r="AC350" s="106">
        <f t="shared" si="257"/>
        <v>3851.580000000001</v>
      </c>
      <c r="AD350" s="107">
        <v>10.395</v>
      </c>
      <c r="AE350" s="108">
        <f t="shared" si="260"/>
        <v>40037.174100000004</v>
      </c>
      <c r="AF350" s="109"/>
    </row>
    <row r="351" spans="1:32" s="54" customFormat="1" ht="12.75">
      <c r="A351" s="127">
        <v>38018</v>
      </c>
      <c r="B351" s="122">
        <v>38042</v>
      </c>
      <c r="C351" s="250">
        <v>4748.1</v>
      </c>
      <c r="D351" s="192">
        <f t="shared" si="258"/>
        <v>644.1000000000004</v>
      </c>
      <c r="E351" s="250"/>
      <c r="F351" s="192"/>
      <c r="G351" s="68" t="s">
        <v>75</v>
      </c>
      <c r="H351" s="57">
        <v>800</v>
      </c>
      <c r="I351" s="58"/>
      <c r="J351" s="59"/>
      <c r="K351" s="58">
        <v>22307.1</v>
      </c>
      <c r="L351" s="59">
        <f t="shared" si="259"/>
        <v>2832.5999999999985</v>
      </c>
      <c r="Q351" s="115"/>
      <c r="R351" s="115"/>
      <c r="S351" s="115"/>
      <c r="T351" s="115"/>
      <c r="U351" s="115"/>
      <c r="V351" s="115"/>
      <c r="W351" s="115"/>
      <c r="X351" s="115"/>
      <c r="AC351" s="106">
        <f t="shared" si="257"/>
        <v>3993.439999999999</v>
      </c>
      <c r="AD351" s="110">
        <v>10.395</v>
      </c>
      <c r="AE351" s="108">
        <f t="shared" si="260"/>
        <v>41511.80879999999</v>
      </c>
      <c r="AF351" s="108"/>
    </row>
    <row r="352" spans="1:32" s="115" customFormat="1" ht="13.5" thickBot="1">
      <c r="A352" s="127">
        <v>38047</v>
      </c>
      <c r="B352" s="122">
        <v>38069</v>
      </c>
      <c r="C352" s="191">
        <v>5038.49</v>
      </c>
      <c r="D352" s="194">
        <f t="shared" si="258"/>
        <v>290.3899999999994</v>
      </c>
      <c r="E352" s="191"/>
      <c r="F352" s="194"/>
      <c r="G352" s="191">
        <v>8325.47</v>
      </c>
      <c r="H352" s="61">
        <v>700</v>
      </c>
      <c r="I352" s="60"/>
      <c r="J352" s="70"/>
      <c r="K352" s="60">
        <v>24705.7</v>
      </c>
      <c r="L352" s="70">
        <f t="shared" si="259"/>
        <v>2398.600000000002</v>
      </c>
      <c r="AC352" s="81">
        <f t="shared" si="257"/>
        <v>3149.1300000000015</v>
      </c>
      <c r="AD352" s="104">
        <v>10.395</v>
      </c>
      <c r="AE352" s="105">
        <f t="shared" si="260"/>
        <v>32735.206350000015</v>
      </c>
      <c r="AF352" s="105">
        <f>SUM(AE350:AE352)</f>
        <v>114284.18925000002</v>
      </c>
    </row>
    <row r="353" spans="1:32" s="54" customFormat="1" ht="12.75">
      <c r="A353" s="127">
        <v>38078</v>
      </c>
      <c r="B353" s="114">
        <v>38104</v>
      </c>
      <c r="C353" s="263">
        <v>5434.1</v>
      </c>
      <c r="D353" s="264">
        <f t="shared" si="258"/>
        <v>395.6100000000006</v>
      </c>
      <c r="E353" s="263"/>
      <c r="F353" s="264"/>
      <c r="G353" s="263">
        <v>9310.7</v>
      </c>
      <c r="H353" s="264">
        <f aca="true" t="shared" si="261" ref="H353:H370">G353-G352</f>
        <v>985.2300000000014</v>
      </c>
      <c r="I353" s="263"/>
      <c r="J353" s="264"/>
      <c r="K353" s="263">
        <v>26876.9</v>
      </c>
      <c r="L353" s="264">
        <f>K353-K352</f>
        <v>2171.2000000000007</v>
      </c>
      <c r="Q353" s="115"/>
      <c r="R353" s="115"/>
      <c r="S353" s="115"/>
      <c r="T353" s="115"/>
      <c r="U353" s="115"/>
      <c r="V353" s="115"/>
      <c r="W353" s="115"/>
      <c r="X353" s="115"/>
      <c r="AC353" s="106">
        <f t="shared" si="257"/>
        <v>3334.920000000003</v>
      </c>
      <c r="AD353" s="107">
        <v>10.395</v>
      </c>
      <c r="AE353" s="108">
        <f aca="true" t="shared" si="262" ref="AE353:AE367">AC353*AD353</f>
        <v>34666.49340000003</v>
      </c>
      <c r="AF353" s="109"/>
    </row>
    <row r="354" spans="1:32" s="54" customFormat="1" ht="12.75">
      <c r="A354" s="127">
        <v>38108</v>
      </c>
      <c r="B354" s="122">
        <v>38133</v>
      </c>
      <c r="C354" s="250">
        <v>5475</v>
      </c>
      <c r="D354" s="320">
        <f t="shared" si="258"/>
        <v>40.899999999999636</v>
      </c>
      <c r="E354" s="250"/>
      <c r="F354" s="192"/>
      <c r="G354" s="250">
        <v>9748</v>
      </c>
      <c r="H354" s="192">
        <f t="shared" si="261"/>
        <v>437.2999999999993</v>
      </c>
      <c r="I354" s="250"/>
      <c r="J354" s="192"/>
      <c r="K354" s="250">
        <v>27532</v>
      </c>
      <c r="L354" s="192">
        <f>K354-K353</f>
        <v>655.0999999999985</v>
      </c>
      <c r="Q354" s="115"/>
      <c r="R354" s="115"/>
      <c r="S354" s="115"/>
      <c r="T354" s="115"/>
      <c r="U354" s="115"/>
      <c r="V354" s="115"/>
      <c r="W354" s="115"/>
      <c r="X354" s="115"/>
      <c r="AC354" s="106">
        <f t="shared" si="257"/>
        <v>1067.7899999999977</v>
      </c>
      <c r="AD354" s="110">
        <v>10.395</v>
      </c>
      <c r="AE354" s="108">
        <f t="shared" si="262"/>
        <v>11099.677049999975</v>
      </c>
      <c r="AF354" s="108"/>
    </row>
    <row r="355" spans="1:32" s="54" customFormat="1" ht="13.5" thickBot="1">
      <c r="A355" s="127">
        <v>38139</v>
      </c>
      <c r="B355" s="122">
        <v>38161</v>
      </c>
      <c r="C355" s="191">
        <v>5500.5</v>
      </c>
      <c r="D355" s="321">
        <f>C355-C354</f>
        <v>25.5</v>
      </c>
      <c r="E355" s="191"/>
      <c r="F355" s="194"/>
      <c r="G355" s="191">
        <v>10006.4</v>
      </c>
      <c r="H355" s="194">
        <f t="shared" si="261"/>
        <v>258.39999999999964</v>
      </c>
      <c r="I355" s="191"/>
      <c r="J355" s="194"/>
      <c r="K355" s="191">
        <v>28216.3</v>
      </c>
      <c r="L355" s="194">
        <f>K355-K354</f>
        <v>684.2999999999993</v>
      </c>
      <c r="Q355" s="115"/>
      <c r="R355" s="115"/>
      <c r="S355" s="115"/>
      <c r="T355" s="115"/>
      <c r="U355" s="115"/>
      <c r="V355" s="115"/>
      <c r="W355" s="115"/>
      <c r="X355" s="115"/>
      <c r="AC355" s="81">
        <f t="shared" si="257"/>
        <v>899.769999999999</v>
      </c>
      <c r="AD355" s="111">
        <v>10.395</v>
      </c>
      <c r="AE355" s="105">
        <f t="shared" si="262"/>
        <v>9353.10914999999</v>
      </c>
      <c r="AF355" s="105">
        <f>SUM(AE353:AE355)</f>
        <v>55119.279599999994</v>
      </c>
    </row>
    <row r="356" spans="1:32" s="54" customFormat="1" ht="12.75">
      <c r="A356" s="127">
        <v>38169</v>
      </c>
      <c r="B356" s="116">
        <v>38195</v>
      </c>
      <c r="C356" s="250">
        <v>5532.1</v>
      </c>
      <c r="D356" s="264">
        <f t="shared" si="258"/>
        <v>31.600000000000364</v>
      </c>
      <c r="E356" s="250"/>
      <c r="F356" s="264"/>
      <c r="G356" s="250">
        <v>10149.9</v>
      </c>
      <c r="H356" s="264">
        <f t="shared" si="261"/>
        <v>143.5</v>
      </c>
      <c r="I356" s="250"/>
      <c r="J356" s="264"/>
      <c r="K356" s="250">
        <v>28593.4</v>
      </c>
      <c r="L356" s="264">
        <f aca="true" t="shared" si="263" ref="L356:L364">K356-K355</f>
        <v>377.1000000000022</v>
      </c>
      <c r="Q356" s="115"/>
      <c r="R356" s="115"/>
      <c r="S356" s="115"/>
      <c r="T356" s="115"/>
      <c r="U356" s="115"/>
      <c r="V356" s="115"/>
      <c r="W356" s="115"/>
      <c r="X356" s="115"/>
      <c r="AC356" s="106">
        <f t="shared" si="257"/>
        <v>514.4900000000023</v>
      </c>
      <c r="AD356" s="143">
        <v>11.1891</v>
      </c>
      <c r="AE356" s="130">
        <f t="shared" si="262"/>
        <v>5756.680059000026</v>
      </c>
      <c r="AF356" s="144"/>
    </row>
    <row r="357" spans="1:32" s="54" customFormat="1" ht="12.75">
      <c r="A357" s="127">
        <v>38200</v>
      </c>
      <c r="B357" s="116">
        <v>38229</v>
      </c>
      <c r="C357" s="250">
        <v>5560</v>
      </c>
      <c r="D357" s="320">
        <f t="shared" si="258"/>
        <v>27.899999999999636</v>
      </c>
      <c r="E357" s="250"/>
      <c r="F357" s="192"/>
      <c r="G357" s="250">
        <v>10354.6</v>
      </c>
      <c r="H357" s="192">
        <f t="shared" si="261"/>
        <v>204.70000000000073</v>
      </c>
      <c r="I357" s="250"/>
      <c r="J357" s="192"/>
      <c r="K357" s="250">
        <v>28976.6</v>
      </c>
      <c r="L357" s="192">
        <f t="shared" si="263"/>
        <v>383.1999999999971</v>
      </c>
      <c r="Q357" s="115"/>
      <c r="R357" s="115"/>
      <c r="S357" s="115"/>
      <c r="T357" s="115"/>
      <c r="U357" s="115"/>
      <c r="V357" s="115"/>
      <c r="W357" s="115"/>
      <c r="X357" s="115"/>
      <c r="AC357" s="106">
        <f t="shared" si="257"/>
        <v>577.4799999999977</v>
      </c>
      <c r="AD357" s="145">
        <v>11.1891</v>
      </c>
      <c r="AE357" s="130">
        <f t="shared" si="262"/>
        <v>6461.4814679999745</v>
      </c>
      <c r="AF357" s="130"/>
    </row>
    <row r="358" spans="1:32" s="54" customFormat="1" ht="13.5" thickBot="1">
      <c r="A358" s="127">
        <v>38231</v>
      </c>
      <c r="B358" s="116">
        <v>38257</v>
      </c>
      <c r="C358" s="191">
        <v>5580.9</v>
      </c>
      <c r="D358" s="321">
        <f t="shared" si="258"/>
        <v>20.899999999999636</v>
      </c>
      <c r="E358" s="250"/>
      <c r="F358" s="194"/>
      <c r="G358" s="191">
        <v>10637</v>
      </c>
      <c r="H358" s="194">
        <f t="shared" si="261"/>
        <v>282.39999999999964</v>
      </c>
      <c r="I358" s="250"/>
      <c r="J358" s="194"/>
      <c r="K358" s="250">
        <v>29291.5</v>
      </c>
      <c r="L358" s="194">
        <f t="shared" si="263"/>
        <v>314.90000000000146</v>
      </c>
      <c r="Q358" s="115"/>
      <c r="R358" s="115"/>
      <c r="S358" s="115"/>
      <c r="T358" s="115"/>
      <c r="U358" s="115"/>
      <c r="V358" s="115"/>
      <c r="W358" s="115"/>
      <c r="X358" s="115"/>
      <c r="AC358" s="81">
        <f t="shared" si="257"/>
        <v>586.7100000000006</v>
      </c>
      <c r="AD358" s="128">
        <v>11.1891</v>
      </c>
      <c r="AE358" s="146">
        <f t="shared" si="262"/>
        <v>6564.756861000006</v>
      </c>
      <c r="AF358" s="146">
        <f>SUM(AE356:AE358)</f>
        <v>18782.918388000006</v>
      </c>
    </row>
    <row r="359" spans="1:32" s="54" customFormat="1" ht="12.75">
      <c r="A359" s="127">
        <v>38261</v>
      </c>
      <c r="B359" s="116">
        <v>38288</v>
      </c>
      <c r="C359" s="263">
        <v>5824.3</v>
      </c>
      <c r="D359" s="264">
        <f t="shared" si="258"/>
        <v>243.40000000000055</v>
      </c>
      <c r="E359" s="263"/>
      <c r="F359" s="264"/>
      <c r="G359" s="263">
        <v>11649.2</v>
      </c>
      <c r="H359" s="264">
        <f t="shared" si="261"/>
        <v>1012.2000000000007</v>
      </c>
      <c r="I359" s="263"/>
      <c r="J359" s="264"/>
      <c r="K359" s="263">
        <v>30686</v>
      </c>
      <c r="L359" s="264">
        <f t="shared" si="263"/>
        <v>1394.5</v>
      </c>
      <c r="Q359" s="115"/>
      <c r="R359" s="115"/>
      <c r="S359" s="115"/>
      <c r="T359" s="115"/>
      <c r="U359" s="115"/>
      <c r="V359" s="115"/>
      <c r="W359" s="115"/>
      <c r="X359" s="115"/>
      <c r="AC359" s="106">
        <f t="shared" si="257"/>
        <v>2510.6500000000015</v>
      </c>
      <c r="AD359" s="143">
        <v>11.1891</v>
      </c>
      <c r="AE359" s="144">
        <f t="shared" si="262"/>
        <v>28091.913915000016</v>
      </c>
      <c r="AF359" s="144"/>
    </row>
    <row r="360" spans="1:32" s="54" customFormat="1" ht="12.75">
      <c r="A360" s="127">
        <v>38292</v>
      </c>
      <c r="B360" s="116">
        <v>38320</v>
      </c>
      <c r="C360" s="250">
        <v>6204.6</v>
      </c>
      <c r="D360" s="320">
        <f t="shared" si="258"/>
        <v>380.3000000000002</v>
      </c>
      <c r="E360" s="250"/>
      <c r="F360" s="192"/>
      <c r="G360" s="250">
        <v>12873.8</v>
      </c>
      <c r="H360" s="192">
        <f t="shared" si="261"/>
        <v>1224.5999999999985</v>
      </c>
      <c r="I360" s="250"/>
      <c r="J360" s="192"/>
      <c r="K360" s="250">
        <v>32794.9</v>
      </c>
      <c r="L360" s="192">
        <f t="shared" si="263"/>
        <v>2108.9000000000015</v>
      </c>
      <c r="Q360" s="115"/>
      <c r="R360" s="115"/>
      <c r="S360" s="115"/>
      <c r="T360" s="115"/>
      <c r="U360" s="115"/>
      <c r="V360" s="115"/>
      <c r="W360" s="115"/>
      <c r="X360" s="115"/>
      <c r="AC360" s="106">
        <f t="shared" si="257"/>
        <v>3502.91</v>
      </c>
      <c r="AD360" s="145">
        <v>11.1891</v>
      </c>
      <c r="AE360" s="130">
        <f t="shared" si="262"/>
        <v>39194.410281</v>
      </c>
      <c r="AF360" s="130"/>
    </row>
    <row r="361" spans="1:32" s="76" customFormat="1" ht="13.5" thickBot="1">
      <c r="A361" s="127">
        <v>38322</v>
      </c>
      <c r="B361" s="116">
        <v>38355</v>
      </c>
      <c r="C361" s="191">
        <v>6787.4</v>
      </c>
      <c r="D361" s="321">
        <f t="shared" si="258"/>
        <v>582.7999999999993</v>
      </c>
      <c r="E361" s="191"/>
      <c r="F361" s="194"/>
      <c r="G361" s="191">
        <v>14423.33</v>
      </c>
      <c r="H361" s="194">
        <f t="shared" si="261"/>
        <v>1549.5300000000007</v>
      </c>
      <c r="I361" s="191"/>
      <c r="J361" s="194"/>
      <c r="K361" s="191">
        <v>36053.76</v>
      </c>
      <c r="L361" s="194">
        <f t="shared" si="263"/>
        <v>3258.8600000000006</v>
      </c>
      <c r="Q361" s="117"/>
      <c r="R361" s="112"/>
      <c r="AC361" s="349">
        <f t="shared" si="257"/>
        <v>5065.304</v>
      </c>
      <c r="AD361" s="318">
        <v>11.1891</v>
      </c>
      <c r="AE361" s="277">
        <f t="shared" si="262"/>
        <v>56676.1929864</v>
      </c>
      <c r="AF361" s="277">
        <f>SUM(AE359:AE361)</f>
        <v>123962.51718240001</v>
      </c>
    </row>
    <row r="362" spans="1:32" s="54" customFormat="1" ht="12.75">
      <c r="A362" s="121">
        <v>38353</v>
      </c>
      <c r="B362" s="114">
        <v>38384</v>
      </c>
      <c r="C362" s="62">
        <v>7350</v>
      </c>
      <c r="D362" s="63">
        <f t="shared" si="258"/>
        <v>562.6000000000004</v>
      </c>
      <c r="E362" s="66"/>
      <c r="F362" s="63"/>
      <c r="G362" s="62">
        <v>16000</v>
      </c>
      <c r="H362" s="63">
        <f t="shared" si="261"/>
        <v>1576.67</v>
      </c>
      <c r="I362" s="66"/>
      <c r="J362" s="63"/>
      <c r="K362" s="66">
        <v>39229.4</v>
      </c>
      <c r="L362" s="63">
        <f t="shared" si="263"/>
        <v>3175.6399999999994</v>
      </c>
      <c r="Q362" s="118"/>
      <c r="R362" s="119"/>
      <c r="AC362" s="140">
        <f t="shared" si="257"/>
        <v>4997.346</v>
      </c>
      <c r="AD362" s="143">
        <v>11.1891</v>
      </c>
      <c r="AE362" s="130">
        <f t="shared" si="262"/>
        <v>55915.80412859999</v>
      </c>
      <c r="AF362" s="144"/>
    </row>
    <row r="363" spans="1:32" s="54" customFormat="1" ht="12.75">
      <c r="A363" s="127">
        <v>38384</v>
      </c>
      <c r="B363" s="122">
        <v>38411</v>
      </c>
      <c r="C363" s="250">
        <v>7709.95</v>
      </c>
      <c r="D363" s="192">
        <f t="shared" si="258"/>
        <v>359.9499999999998</v>
      </c>
      <c r="E363" s="250"/>
      <c r="F363" s="192"/>
      <c r="G363" s="250">
        <v>17204.74</v>
      </c>
      <c r="H363" s="192">
        <f t="shared" si="261"/>
        <v>1204.7400000000016</v>
      </c>
      <c r="I363" s="250"/>
      <c r="J363" s="192"/>
      <c r="K363" s="250">
        <v>42051.1</v>
      </c>
      <c r="L363" s="192">
        <f t="shared" si="263"/>
        <v>2821.699999999997</v>
      </c>
      <c r="Q363" s="118"/>
      <c r="R363" s="119"/>
      <c r="AC363" s="140">
        <f t="shared" si="257"/>
        <v>4104.219999999999</v>
      </c>
      <c r="AD363" s="145">
        <v>11.1891</v>
      </c>
      <c r="AE363" s="130">
        <f>AC363*AD363</f>
        <v>45922.52800199999</v>
      </c>
      <c r="AF363" s="130"/>
    </row>
    <row r="364" spans="1:32" s="54" customFormat="1" ht="13.5" thickBot="1">
      <c r="A364" s="127">
        <v>38412</v>
      </c>
      <c r="B364" s="122">
        <v>38433</v>
      </c>
      <c r="C364" s="191">
        <v>8020.96</v>
      </c>
      <c r="D364" s="194">
        <f t="shared" si="258"/>
        <v>311.0100000000002</v>
      </c>
      <c r="E364" s="191"/>
      <c r="F364" s="194"/>
      <c r="G364" s="191">
        <v>18258.3</v>
      </c>
      <c r="H364" s="194">
        <f t="shared" si="261"/>
        <v>1053.5599999999977</v>
      </c>
      <c r="I364" s="191"/>
      <c r="J364" s="194"/>
      <c r="K364" s="191">
        <v>43881.6</v>
      </c>
      <c r="L364" s="194">
        <f t="shared" si="263"/>
        <v>1830.5</v>
      </c>
      <c r="Q364" s="118"/>
      <c r="R364" s="120"/>
      <c r="AC364" s="134">
        <f t="shared" si="257"/>
        <v>3012.0199999999977</v>
      </c>
      <c r="AD364" s="128">
        <v>11.1891</v>
      </c>
      <c r="AE364" s="146">
        <f t="shared" si="262"/>
        <v>33701.79298199998</v>
      </c>
      <c r="AF364" s="146">
        <f>SUM(AE362:AE364)</f>
        <v>135540.12511259996</v>
      </c>
    </row>
    <row r="365" spans="1:32" s="76" customFormat="1" ht="12.75">
      <c r="A365" s="127">
        <v>38443</v>
      </c>
      <c r="B365" s="116">
        <v>38468</v>
      </c>
      <c r="C365" s="263">
        <v>8255.8</v>
      </c>
      <c r="D365" s="264">
        <f aca="true" t="shared" si="264" ref="D365:D370">C365-C364</f>
        <v>234.83999999999924</v>
      </c>
      <c r="E365" s="263"/>
      <c r="F365" s="264"/>
      <c r="G365" s="263">
        <v>19305.2</v>
      </c>
      <c r="H365" s="264">
        <f t="shared" si="261"/>
        <v>1046.9000000000015</v>
      </c>
      <c r="I365" s="263"/>
      <c r="J365" s="264"/>
      <c r="K365" s="263">
        <v>45266.6</v>
      </c>
      <c r="L365" s="264">
        <f aca="true" t="shared" si="265" ref="L365:L370">K365-K364</f>
        <v>1385</v>
      </c>
      <c r="Q365" s="117"/>
      <c r="R365" s="422"/>
      <c r="AC365" s="314">
        <f t="shared" si="257"/>
        <v>2528.2400000000007</v>
      </c>
      <c r="AD365" s="272">
        <v>11.1891</v>
      </c>
      <c r="AE365" s="268">
        <f t="shared" si="262"/>
        <v>28288.730184000007</v>
      </c>
      <c r="AF365" s="273"/>
    </row>
    <row r="366" spans="1:32" s="76" customFormat="1" ht="12.75">
      <c r="A366" s="121">
        <v>38473</v>
      </c>
      <c r="B366" s="116">
        <v>38498</v>
      </c>
      <c r="C366" s="250">
        <v>8424.9</v>
      </c>
      <c r="D366" s="192">
        <f t="shared" si="264"/>
        <v>169.10000000000036</v>
      </c>
      <c r="E366" s="250"/>
      <c r="F366" s="192"/>
      <c r="G366" s="250">
        <v>19736.6</v>
      </c>
      <c r="H366" s="192">
        <f t="shared" si="261"/>
        <v>431.3999999999978</v>
      </c>
      <c r="I366" s="250"/>
      <c r="J366" s="192"/>
      <c r="K366" s="250">
        <v>46022.3</v>
      </c>
      <c r="L366" s="192">
        <f t="shared" si="265"/>
        <v>755.7000000000044</v>
      </c>
      <c r="Q366" s="117"/>
      <c r="R366" s="422"/>
      <c r="AC366" s="314">
        <f t="shared" si="257"/>
        <v>1280.6300000000022</v>
      </c>
      <c r="AD366" s="267">
        <v>11.1891</v>
      </c>
      <c r="AE366" s="268">
        <f t="shared" si="262"/>
        <v>14329.097133000025</v>
      </c>
      <c r="AF366" s="268"/>
    </row>
    <row r="367" spans="1:32" s="54" customFormat="1" ht="13.5" thickBot="1">
      <c r="A367" s="121">
        <v>38504</v>
      </c>
      <c r="B367" s="116">
        <v>38530</v>
      </c>
      <c r="C367" s="191">
        <v>8448.7</v>
      </c>
      <c r="D367" s="194">
        <f t="shared" si="264"/>
        <v>23.80000000000109</v>
      </c>
      <c r="E367" s="191"/>
      <c r="F367" s="194"/>
      <c r="G367" s="191">
        <v>19864.3</v>
      </c>
      <c r="H367" s="194">
        <f t="shared" si="261"/>
        <v>127.70000000000073</v>
      </c>
      <c r="I367" s="191"/>
      <c r="J367" s="194"/>
      <c r="K367" s="191">
        <v>46254.5</v>
      </c>
      <c r="L367" s="194">
        <f t="shared" si="265"/>
        <v>232.1999999999971</v>
      </c>
      <c r="Q367" s="118"/>
      <c r="R367" s="120"/>
      <c r="AC367" s="423">
        <f t="shared" si="257"/>
        <v>360.4799999999992</v>
      </c>
      <c r="AD367" s="128">
        <v>11.1891</v>
      </c>
      <c r="AE367" s="424">
        <f t="shared" si="262"/>
        <v>4033.446767999991</v>
      </c>
      <c r="AF367" s="424">
        <f>SUM(AE365:AE367)</f>
        <v>46651.27408500003</v>
      </c>
    </row>
    <row r="368" spans="1:32" s="54" customFormat="1" ht="12.75">
      <c r="A368" s="127">
        <v>38534</v>
      </c>
      <c r="B368" s="116">
        <v>38561</v>
      </c>
      <c r="C368" s="250">
        <v>8468.6</v>
      </c>
      <c r="D368" s="264">
        <f t="shared" si="264"/>
        <v>19.899999999999636</v>
      </c>
      <c r="E368" s="250"/>
      <c r="F368" s="264"/>
      <c r="G368" s="250">
        <v>19924.5</v>
      </c>
      <c r="H368" s="264">
        <f t="shared" si="261"/>
        <v>60.20000000000073</v>
      </c>
      <c r="I368" s="250"/>
      <c r="J368" s="264"/>
      <c r="K368" s="250">
        <v>46368.9</v>
      </c>
      <c r="L368" s="264">
        <f t="shared" si="265"/>
        <v>114.40000000000146</v>
      </c>
      <c r="Q368" s="118"/>
      <c r="R368" s="120"/>
      <c r="AC368" s="140">
        <f aca="true" t="shared" si="266" ref="AC368:AC379">IF(L368="","",D368+H368+L368*$K$3)</f>
        <v>183.06000000000168</v>
      </c>
      <c r="AD368" s="143">
        <v>11.918156249999997</v>
      </c>
      <c r="AE368" s="130">
        <f>AC368*AD368</f>
        <v>2181.7376831250194</v>
      </c>
      <c r="AF368" s="144"/>
    </row>
    <row r="369" spans="1:32" s="54" customFormat="1" ht="12.75">
      <c r="A369" s="127">
        <v>38565</v>
      </c>
      <c r="B369" s="116">
        <v>38593</v>
      </c>
      <c r="C369" s="250">
        <v>8484.9</v>
      </c>
      <c r="D369" s="192">
        <f t="shared" si="264"/>
        <v>16.299999999999272</v>
      </c>
      <c r="E369" s="250"/>
      <c r="F369" s="192"/>
      <c r="G369" s="250">
        <v>19983.9</v>
      </c>
      <c r="H369" s="192">
        <f t="shared" si="261"/>
        <v>59.400000000001455</v>
      </c>
      <c r="I369" s="250"/>
      <c r="J369" s="192"/>
      <c r="K369" s="250">
        <v>46490.2</v>
      </c>
      <c r="L369" s="192">
        <f t="shared" si="265"/>
        <v>121.29999999999563</v>
      </c>
      <c r="Q369" s="118"/>
      <c r="R369" s="120"/>
      <c r="AC369" s="140">
        <f t="shared" si="266"/>
        <v>184.86999999999682</v>
      </c>
      <c r="AD369" s="145">
        <v>11.918156249999997</v>
      </c>
      <c r="AE369" s="130">
        <f>AC369*AD369</f>
        <v>2203.3095459374617</v>
      </c>
      <c r="AF369" s="130"/>
    </row>
    <row r="370" spans="1:32" s="54" customFormat="1" ht="13.5" thickBot="1">
      <c r="A370" s="127">
        <v>38596</v>
      </c>
      <c r="B370" s="116">
        <v>38623</v>
      </c>
      <c r="C370" s="191">
        <v>8501.49</v>
      </c>
      <c r="D370" s="194">
        <f t="shared" si="264"/>
        <v>16.590000000000146</v>
      </c>
      <c r="E370" s="191"/>
      <c r="F370" s="194"/>
      <c r="G370" s="191">
        <v>20194.7</v>
      </c>
      <c r="H370" s="194">
        <f t="shared" si="261"/>
        <v>210.79999999999927</v>
      </c>
      <c r="I370" s="191"/>
      <c r="J370" s="194"/>
      <c r="K370" s="191">
        <v>46636.07</v>
      </c>
      <c r="L370" s="194">
        <f t="shared" si="265"/>
        <v>145.87000000000262</v>
      </c>
      <c r="Q370" s="118"/>
      <c r="R370" s="120"/>
      <c r="AC370" s="134">
        <f t="shared" si="266"/>
        <v>358.6730000000018</v>
      </c>
      <c r="AD370" s="128">
        <v>11.918156249999997</v>
      </c>
      <c r="AE370" s="146">
        <f>AC370*AD370</f>
        <v>4274.72085665627</v>
      </c>
      <c r="AF370" s="146">
        <f>SUM(AE368:AE370)</f>
        <v>8659.768085718752</v>
      </c>
    </row>
    <row r="371" spans="1:32" s="54" customFormat="1" ht="12.75">
      <c r="A371" s="127">
        <v>38626</v>
      </c>
      <c r="B371" s="116">
        <f>B$39</f>
        <v>38652</v>
      </c>
      <c r="C371" s="250">
        <v>8602</v>
      </c>
      <c r="D371" s="264">
        <f>IF(C371="","",C371-C370)</f>
        <v>100.51000000000022</v>
      </c>
      <c r="E371" s="250"/>
      <c r="F371" s="264"/>
      <c r="G371" s="250">
        <v>20663.2</v>
      </c>
      <c r="H371" s="264">
        <f aca="true" t="shared" si="267" ref="H371:H379">IF(G371="","",G371-G370)</f>
        <v>468.5</v>
      </c>
      <c r="I371" s="250"/>
      <c r="J371" s="264"/>
      <c r="K371" s="250">
        <v>47222.6</v>
      </c>
      <c r="L371" s="264">
        <f aca="true" t="shared" si="268" ref="L371:L379">IF(K371="","",K371-K370)</f>
        <v>586.5299999999988</v>
      </c>
      <c r="Q371" s="118"/>
      <c r="R371" s="120"/>
      <c r="AC371" s="140">
        <f t="shared" si="266"/>
        <v>1096.8869999999993</v>
      </c>
      <c r="AD371" s="143">
        <v>11.918156249999997</v>
      </c>
      <c r="AE371" s="130">
        <f aca="true" t="shared" si="269" ref="AE371:AE379">AC371*AD371</f>
        <v>13072.870654593738</v>
      </c>
      <c r="AF371" s="144"/>
    </row>
    <row r="372" spans="1:32" s="54" customFormat="1" ht="12.75">
      <c r="A372" s="127">
        <v>38657</v>
      </c>
      <c r="B372" s="116">
        <v>38679</v>
      </c>
      <c r="C372" s="250"/>
      <c r="D372" s="57">
        <f>D373</f>
        <v>493.2999999999993</v>
      </c>
      <c r="E372" s="58"/>
      <c r="F372" s="59"/>
      <c r="G372" s="58">
        <v>21248.7</v>
      </c>
      <c r="H372" s="59">
        <f t="shared" si="267"/>
        <v>585.5</v>
      </c>
      <c r="I372" s="58"/>
      <c r="J372" s="59"/>
      <c r="K372" s="58">
        <v>48338.8</v>
      </c>
      <c r="L372" s="59">
        <f t="shared" si="268"/>
        <v>1116.2000000000044</v>
      </c>
      <c r="Q372" s="118"/>
      <c r="R372" s="120"/>
      <c r="AC372" s="140">
        <f t="shared" si="266"/>
        <v>2083.3800000000033</v>
      </c>
      <c r="AD372" s="145">
        <v>11.918156249999997</v>
      </c>
      <c r="AE372" s="130">
        <f t="shared" si="269"/>
        <v>24830.048368125033</v>
      </c>
      <c r="AF372" s="130"/>
    </row>
    <row r="373" spans="1:32" s="54" customFormat="1" ht="13.5" thickBot="1">
      <c r="A373" s="127">
        <v>38687</v>
      </c>
      <c r="B373" s="116">
        <v>38701</v>
      </c>
      <c r="C373" s="191">
        <v>9095.3</v>
      </c>
      <c r="D373" s="61">
        <f>IF(C373="","",C373-C371)</f>
        <v>493.2999999999993</v>
      </c>
      <c r="E373" s="60"/>
      <c r="F373" s="70"/>
      <c r="G373" s="60">
        <v>22072.1</v>
      </c>
      <c r="H373" s="70">
        <f t="shared" si="267"/>
        <v>823.3999999999978</v>
      </c>
      <c r="I373" s="60"/>
      <c r="J373" s="70"/>
      <c r="K373" s="60">
        <v>50104.5</v>
      </c>
      <c r="L373" s="70">
        <f t="shared" si="268"/>
        <v>1765.699999999997</v>
      </c>
      <c r="Q373" s="118"/>
      <c r="R373" s="120"/>
      <c r="AC373" s="134">
        <f t="shared" si="266"/>
        <v>2905.8299999999945</v>
      </c>
      <c r="AD373" s="128">
        <v>11.918156249999997</v>
      </c>
      <c r="AE373" s="146">
        <f t="shared" si="269"/>
        <v>34632.135975937425</v>
      </c>
      <c r="AF373" s="146">
        <f>SUM(AE371:AE373)</f>
        <v>72535.0549986562</v>
      </c>
    </row>
    <row r="374" spans="1:32" s="54" customFormat="1" ht="12.75">
      <c r="A374" s="127">
        <v>38718</v>
      </c>
      <c r="B374" s="116">
        <v>38736</v>
      </c>
      <c r="C374" s="250">
        <v>9523.7</v>
      </c>
      <c r="D374" s="264">
        <f aca="true" t="shared" si="270" ref="D374:D379">IF(C374="","",C374-C373)</f>
        <v>428.40000000000146</v>
      </c>
      <c r="E374" s="250"/>
      <c r="F374" s="264"/>
      <c r="G374" s="250">
        <v>23175.3</v>
      </c>
      <c r="H374" s="264">
        <f t="shared" si="267"/>
        <v>1103.2000000000007</v>
      </c>
      <c r="I374" s="250"/>
      <c r="J374" s="264"/>
      <c r="K374" s="250">
        <v>52764.2</v>
      </c>
      <c r="L374" s="264">
        <f t="shared" si="268"/>
        <v>2659.699999999997</v>
      </c>
      <c r="Q374" s="118"/>
      <c r="R374" s="120"/>
      <c r="AC374" s="140">
        <f t="shared" si="266"/>
        <v>3925.3299999999995</v>
      </c>
      <c r="AD374" s="143">
        <v>11.918156249999997</v>
      </c>
      <c r="AE374" s="130">
        <f t="shared" si="269"/>
        <v>46782.696272812485</v>
      </c>
      <c r="AF374" s="144"/>
    </row>
    <row r="375" spans="1:32" s="54" customFormat="1" ht="12.75">
      <c r="A375" s="127">
        <v>38749</v>
      </c>
      <c r="B375" s="116">
        <v>38764</v>
      </c>
      <c r="C375" s="250">
        <v>9818.3</v>
      </c>
      <c r="D375" s="192">
        <f t="shared" si="270"/>
        <v>294.59999999999854</v>
      </c>
      <c r="E375" s="250"/>
      <c r="F375" s="57"/>
      <c r="G375" s="58">
        <v>24143.8</v>
      </c>
      <c r="H375" s="59">
        <f t="shared" si="267"/>
        <v>968.5</v>
      </c>
      <c r="I375" s="58"/>
      <c r="J375" s="57"/>
      <c r="K375" s="58">
        <v>48221.8</v>
      </c>
      <c r="L375" s="57">
        <v>2336</v>
      </c>
      <c r="Q375" s="118"/>
      <c r="R375" s="120"/>
      <c r="AC375" s="140">
        <f t="shared" si="266"/>
        <v>3365.4999999999986</v>
      </c>
      <c r="AD375" s="145">
        <v>11.918156249999997</v>
      </c>
      <c r="AE375" s="130">
        <f t="shared" si="269"/>
        <v>40110.55485937498</v>
      </c>
      <c r="AF375" s="130"/>
    </row>
    <row r="376" spans="1:32" s="54" customFormat="1" ht="13.5" thickBot="1">
      <c r="A376" s="127">
        <v>38777</v>
      </c>
      <c r="B376" s="116">
        <v>38791</v>
      </c>
      <c r="C376" s="191">
        <v>10108.7</v>
      </c>
      <c r="D376" s="194">
        <f t="shared" si="270"/>
        <v>290.40000000000146</v>
      </c>
      <c r="E376" s="191"/>
      <c r="F376" s="425"/>
      <c r="G376" s="376">
        <v>25131.5</v>
      </c>
      <c r="H376" s="426">
        <f t="shared" si="267"/>
        <v>987.7000000000007</v>
      </c>
      <c r="I376" s="376"/>
      <c r="J376" s="425"/>
      <c r="K376" s="376">
        <v>57227.5</v>
      </c>
      <c r="L376" s="425">
        <f>IF(K376="","",(K376-K374)-L375)</f>
        <v>2127.300000000003</v>
      </c>
      <c r="Q376" s="118"/>
      <c r="R376" s="120"/>
      <c r="AC376" s="134">
        <f t="shared" si="266"/>
        <v>3192.6700000000046</v>
      </c>
      <c r="AD376" s="128">
        <v>11.918156249999997</v>
      </c>
      <c r="AE376" s="146">
        <f t="shared" si="269"/>
        <v>38050.73991468755</v>
      </c>
      <c r="AF376" s="146">
        <f>SUM(AE374:AE376)</f>
        <v>124943.99104687502</v>
      </c>
    </row>
    <row r="377" spans="1:32" s="54" customFormat="1" ht="12.75">
      <c r="A377" s="127">
        <v>38808</v>
      </c>
      <c r="B377" s="116">
        <f>B$45</f>
        <v>38824</v>
      </c>
      <c r="C377" s="250">
        <v>10343</v>
      </c>
      <c r="D377" s="264">
        <f t="shared" si="270"/>
        <v>234.29999999999927</v>
      </c>
      <c r="E377" s="250"/>
      <c r="F377" s="264"/>
      <c r="G377" s="250">
        <v>26007</v>
      </c>
      <c r="H377" s="264">
        <f t="shared" si="267"/>
        <v>875.5</v>
      </c>
      <c r="I377" s="250"/>
      <c r="J377" s="264"/>
      <c r="K377" s="250">
        <v>59123.5</v>
      </c>
      <c r="L377" s="264">
        <f t="shared" si="268"/>
        <v>1896</v>
      </c>
      <c r="Q377" s="118"/>
      <c r="R377" s="120"/>
      <c r="AC377" s="140">
        <f t="shared" si="266"/>
        <v>2816.1999999999994</v>
      </c>
      <c r="AD377" s="143">
        <v>11.918156249999997</v>
      </c>
      <c r="AE377" s="130">
        <f t="shared" si="269"/>
        <v>33563.91163124998</v>
      </c>
      <c r="AF377" s="144"/>
    </row>
    <row r="378" spans="1:32" s="54" customFormat="1" ht="12.75">
      <c r="A378" s="127">
        <v>38838</v>
      </c>
      <c r="B378" s="116">
        <v>38856</v>
      </c>
      <c r="C378" s="250">
        <v>10493.8</v>
      </c>
      <c r="D378" s="192">
        <f t="shared" si="270"/>
        <v>150.79999999999927</v>
      </c>
      <c r="E378" s="250"/>
      <c r="F378" s="192"/>
      <c r="G378" s="250">
        <v>26637.4</v>
      </c>
      <c r="H378" s="192">
        <f t="shared" si="267"/>
        <v>630.4000000000015</v>
      </c>
      <c r="I378" s="250"/>
      <c r="J378" s="192"/>
      <c r="K378" s="250">
        <v>60138.9</v>
      </c>
      <c r="L378" s="192">
        <f t="shared" si="268"/>
        <v>1015.4000000000015</v>
      </c>
      <c r="Q378" s="118"/>
      <c r="R378" s="120"/>
      <c r="AC378" s="140">
        <f t="shared" si="266"/>
        <v>1695.0600000000022</v>
      </c>
      <c r="AD378" s="145">
        <v>11.918156249999997</v>
      </c>
      <c r="AE378" s="130">
        <f t="shared" si="269"/>
        <v>20201.989933125024</v>
      </c>
      <c r="AF378" s="130"/>
    </row>
    <row r="379" spans="1:32" s="76" customFormat="1" ht="13.5" thickBot="1">
      <c r="A379" s="127">
        <v>38869</v>
      </c>
      <c r="B379" s="116">
        <v>38882</v>
      </c>
      <c r="C379" s="191">
        <v>10522.5</v>
      </c>
      <c r="D379" s="194">
        <f t="shared" si="270"/>
        <v>28.700000000000728</v>
      </c>
      <c r="E379" s="191"/>
      <c r="F379" s="194"/>
      <c r="G379" s="191">
        <v>26884.6</v>
      </c>
      <c r="H379" s="194">
        <f t="shared" si="267"/>
        <v>247.1999999999971</v>
      </c>
      <c r="I379" s="191"/>
      <c r="J379" s="194"/>
      <c r="K379" s="191">
        <v>60516</v>
      </c>
      <c r="L379" s="194">
        <f t="shared" si="268"/>
        <v>377.09999999999854</v>
      </c>
      <c r="Q379" s="117"/>
      <c r="R379" s="112"/>
      <c r="AC379" s="427">
        <f t="shared" si="266"/>
        <v>615.2899999999966</v>
      </c>
      <c r="AD379" s="318">
        <v>11.918156249999997</v>
      </c>
      <c r="AE379" s="277">
        <f t="shared" si="269"/>
        <v>7333.122359062458</v>
      </c>
      <c r="AF379" s="277">
        <f>SUM(AE377:AE379)</f>
        <v>61099.02392343746</v>
      </c>
    </row>
    <row r="380" spans="1:32" s="54" customFormat="1" ht="12.75">
      <c r="A380" s="121">
        <v>38899</v>
      </c>
      <c r="B380" s="178">
        <v>38915</v>
      </c>
      <c r="C380" s="250">
        <v>10545.1</v>
      </c>
      <c r="D380" s="264">
        <f aca="true" t="shared" si="271" ref="D380:D391">C380-C379</f>
        <v>22.600000000000364</v>
      </c>
      <c r="E380" s="250"/>
      <c r="F380" s="264"/>
      <c r="G380" s="250">
        <v>26965.23</v>
      </c>
      <c r="H380" s="264">
        <f aca="true" t="shared" si="272" ref="H380:H388">G380-G379</f>
        <v>80.63000000000102</v>
      </c>
      <c r="I380" s="250"/>
      <c r="J380" s="264"/>
      <c r="K380" s="250">
        <v>60689.18</v>
      </c>
      <c r="L380" s="264">
        <f aca="true" t="shared" si="273" ref="L380:L388">K380-K379</f>
        <v>173.1800000000003</v>
      </c>
      <c r="Q380" s="118"/>
      <c r="R380" s="120"/>
      <c r="AC380" s="140">
        <f aca="true" t="shared" si="274" ref="AC380:AC403">D380+H380+L380*$K$3</f>
        <v>259.0920000000017</v>
      </c>
      <c r="AD380" s="143">
        <v>16.27828125</v>
      </c>
      <c r="AE380" s="130">
        <f>AC380*AD380</f>
        <v>4217.572445625027</v>
      </c>
      <c r="AF380" s="144"/>
    </row>
    <row r="381" spans="1:32" s="54" customFormat="1" ht="12.75">
      <c r="A381" s="127">
        <v>38930</v>
      </c>
      <c r="B381" s="178">
        <v>38944</v>
      </c>
      <c r="C381" s="250">
        <v>10557.02</v>
      </c>
      <c r="D381" s="192">
        <f t="shared" si="271"/>
        <v>11.920000000000073</v>
      </c>
      <c r="E381" s="250"/>
      <c r="F381" s="192"/>
      <c r="G381" s="250">
        <v>27003.31</v>
      </c>
      <c r="H381" s="192">
        <f t="shared" si="272"/>
        <v>38.080000000001746</v>
      </c>
      <c r="I381" s="250"/>
      <c r="J381" s="192"/>
      <c r="K381" s="250">
        <v>60804.96</v>
      </c>
      <c r="L381" s="192">
        <f t="shared" si="273"/>
        <v>115.77999999999884</v>
      </c>
      <c r="Q381" s="118"/>
      <c r="R381" s="120"/>
      <c r="AC381" s="140">
        <f t="shared" si="274"/>
        <v>154.2020000000008</v>
      </c>
      <c r="AD381" s="145">
        <v>16.27828125</v>
      </c>
      <c r="AE381" s="130">
        <f>AC381*AD381</f>
        <v>2510.143525312513</v>
      </c>
      <c r="AF381" s="130"/>
    </row>
    <row r="382" spans="1:32" s="54" customFormat="1" ht="13.5" thickBot="1">
      <c r="A382" s="127">
        <v>38961</v>
      </c>
      <c r="B382" s="178">
        <v>38975</v>
      </c>
      <c r="C382" s="191">
        <v>10590.72</v>
      </c>
      <c r="D382" s="194">
        <f t="shared" si="271"/>
        <v>33.69999999999891</v>
      </c>
      <c r="E382" s="191"/>
      <c r="F382" s="194"/>
      <c r="G382" s="191">
        <v>27159.34</v>
      </c>
      <c r="H382" s="194">
        <f t="shared" si="272"/>
        <v>156.02999999999884</v>
      </c>
      <c r="I382" s="191"/>
      <c r="J382" s="194"/>
      <c r="K382" s="191">
        <v>60933.42</v>
      </c>
      <c r="L382" s="194">
        <f t="shared" si="273"/>
        <v>128.45999999999913</v>
      </c>
      <c r="Q382" s="118"/>
      <c r="R382" s="120"/>
      <c r="AC382" s="134">
        <f t="shared" si="274"/>
        <v>305.343999999997</v>
      </c>
      <c r="AD382" s="128">
        <v>16.27828125</v>
      </c>
      <c r="AE382" s="146">
        <f>AC382*AD382</f>
        <v>4970.47550999995</v>
      </c>
      <c r="AF382" s="146">
        <f>SUM(AE380:AE382)</f>
        <v>11698.19148093749</v>
      </c>
    </row>
    <row r="383" spans="1:32" s="54" customFormat="1" ht="12.75">
      <c r="A383" s="127">
        <v>38991</v>
      </c>
      <c r="B383" s="116">
        <v>39005</v>
      </c>
      <c r="C383" s="250">
        <v>10711.85</v>
      </c>
      <c r="D383" s="264">
        <f t="shared" si="271"/>
        <v>121.13000000000102</v>
      </c>
      <c r="E383" s="250"/>
      <c r="F383" s="264"/>
      <c r="G383" s="250">
        <v>27874.77</v>
      </c>
      <c r="H383" s="264">
        <f t="shared" si="272"/>
        <v>715.4300000000003</v>
      </c>
      <c r="I383" s="250"/>
      <c r="J383" s="264"/>
      <c r="K383" s="250">
        <v>61616.2</v>
      </c>
      <c r="L383" s="264">
        <f t="shared" si="273"/>
        <v>682.7799999999988</v>
      </c>
      <c r="Q383" s="118"/>
      <c r="R383" s="120"/>
      <c r="AC383" s="140">
        <f t="shared" si="274"/>
        <v>1451.0620000000004</v>
      </c>
      <c r="AD383" s="143">
        <v>16.27828125</v>
      </c>
      <c r="AE383" s="130">
        <f aca="true" t="shared" si="275" ref="AE383:AE391">AC383*AD383</f>
        <v>23620.795347187504</v>
      </c>
      <c r="AF383" s="144"/>
    </row>
    <row r="384" spans="1:32" s="54" customFormat="1" ht="12.75">
      <c r="A384" s="127">
        <v>39022</v>
      </c>
      <c r="B384" s="116">
        <v>39036</v>
      </c>
      <c r="C384" s="250">
        <v>10993.52</v>
      </c>
      <c r="D384" s="192">
        <f t="shared" si="271"/>
        <v>281.6700000000001</v>
      </c>
      <c r="E384" s="250"/>
      <c r="F384" s="192"/>
      <c r="G384" s="250">
        <v>28861.75</v>
      </c>
      <c r="H384" s="192">
        <f t="shared" si="272"/>
        <v>986.9799999999996</v>
      </c>
      <c r="I384" s="250"/>
      <c r="J384" s="192"/>
      <c r="K384" s="250">
        <v>63433.89</v>
      </c>
      <c r="L384" s="192">
        <f t="shared" si="273"/>
        <v>1817.6900000000023</v>
      </c>
      <c r="Q384" s="118"/>
      <c r="R384" s="120"/>
      <c r="AC384" s="140">
        <f t="shared" si="274"/>
        <v>2904.5710000000017</v>
      </c>
      <c r="AD384" s="145">
        <v>16.27828125</v>
      </c>
      <c r="AE384" s="130">
        <f t="shared" si="275"/>
        <v>47281.42364859377</v>
      </c>
      <c r="AF384" s="130"/>
    </row>
    <row r="385" spans="1:32" s="54" customFormat="1" ht="13.5" thickBot="1">
      <c r="A385" s="127">
        <v>39052</v>
      </c>
      <c r="B385" s="116">
        <v>39066</v>
      </c>
      <c r="C385" s="71">
        <f>C384+(C386-C384)/2</f>
        <v>11327.95</v>
      </c>
      <c r="D385" s="70">
        <f t="shared" si="271"/>
        <v>334.4300000000003</v>
      </c>
      <c r="E385" s="60"/>
      <c r="F385" s="70"/>
      <c r="G385" s="60">
        <v>30133.79</v>
      </c>
      <c r="H385" s="70">
        <f t="shared" si="272"/>
        <v>1272.0400000000009</v>
      </c>
      <c r="I385" s="60"/>
      <c r="J385" s="70"/>
      <c r="K385" s="60">
        <v>65971.69</v>
      </c>
      <c r="L385" s="70">
        <f t="shared" si="273"/>
        <v>2537.800000000003</v>
      </c>
      <c r="Q385" s="118"/>
      <c r="R385" s="120"/>
      <c r="AC385" s="134">
        <f t="shared" si="274"/>
        <v>3890.490000000004</v>
      </c>
      <c r="AD385" s="128">
        <v>16.27828125</v>
      </c>
      <c r="AE385" s="146">
        <f t="shared" si="275"/>
        <v>63330.49042031256</v>
      </c>
      <c r="AF385" s="146">
        <f>SUM(AE383:AE385)</f>
        <v>134232.70941609383</v>
      </c>
    </row>
    <row r="386" spans="1:32" s="54" customFormat="1" ht="12.75">
      <c r="A386" s="127">
        <v>39083</v>
      </c>
      <c r="B386" s="116">
        <v>39097</v>
      </c>
      <c r="C386" s="250">
        <v>11662.38</v>
      </c>
      <c r="D386" s="264">
        <f t="shared" si="271"/>
        <v>334.4299999999985</v>
      </c>
      <c r="E386" s="250"/>
      <c r="F386" s="264"/>
      <c r="G386" s="250">
        <v>31059.05</v>
      </c>
      <c r="H386" s="264">
        <f t="shared" si="272"/>
        <v>925.2599999999984</v>
      </c>
      <c r="I386" s="250"/>
      <c r="J386" s="264"/>
      <c r="K386" s="250">
        <v>68105.64</v>
      </c>
      <c r="L386" s="264">
        <f t="shared" si="273"/>
        <v>2133.949999999997</v>
      </c>
      <c r="Q386" s="118"/>
      <c r="R386" s="120"/>
      <c r="AC386" s="140">
        <f t="shared" si="274"/>
        <v>3180.2449999999944</v>
      </c>
      <c r="AD386" s="143">
        <v>16.27828125</v>
      </c>
      <c r="AE386" s="130">
        <f t="shared" si="275"/>
        <v>51768.92255390616</v>
      </c>
      <c r="AF386" s="144"/>
    </row>
    <row r="387" spans="1:32" s="54" customFormat="1" ht="12.75">
      <c r="A387" s="127">
        <v>39114</v>
      </c>
      <c r="B387" s="116">
        <v>39128</v>
      </c>
      <c r="C387" s="250">
        <v>12253.77</v>
      </c>
      <c r="D387" s="192">
        <f t="shared" si="271"/>
        <v>591.3900000000012</v>
      </c>
      <c r="E387" s="250"/>
      <c r="F387" s="192"/>
      <c r="G387" s="250">
        <v>32890.4</v>
      </c>
      <c r="H387" s="192">
        <f t="shared" si="272"/>
        <v>1831.3500000000022</v>
      </c>
      <c r="I387" s="250"/>
      <c r="J387" s="192"/>
      <c r="K387" s="250">
        <v>71796.82</v>
      </c>
      <c r="L387" s="192">
        <f t="shared" si="273"/>
        <v>3691.1800000000076</v>
      </c>
      <c r="Q387" s="118"/>
      <c r="R387" s="120"/>
      <c r="AC387" s="140">
        <f t="shared" si="274"/>
        <v>5744.802000000011</v>
      </c>
      <c r="AD387" s="145">
        <v>16.27828125</v>
      </c>
      <c r="AE387" s="130">
        <f t="shared" si="275"/>
        <v>93515.50268156266</v>
      </c>
      <c r="AF387" s="130"/>
    </row>
    <row r="388" spans="1:32" s="54" customFormat="1" ht="13.5" thickBot="1">
      <c r="A388" s="127">
        <v>39142</v>
      </c>
      <c r="B388" s="116">
        <v>39156</v>
      </c>
      <c r="C388" s="191">
        <v>12664.35</v>
      </c>
      <c r="D388" s="194">
        <f t="shared" si="271"/>
        <v>410.5799999999999</v>
      </c>
      <c r="E388" s="191"/>
      <c r="F388" s="194"/>
      <c r="G388" s="191">
        <v>34134.34</v>
      </c>
      <c r="H388" s="194">
        <f t="shared" si="272"/>
        <v>1243.939999999995</v>
      </c>
      <c r="I388" s="191"/>
      <c r="J388" s="194"/>
      <c r="K388" s="191">
        <v>74609.36</v>
      </c>
      <c r="L388" s="194">
        <f t="shared" si="273"/>
        <v>2812.5399999999936</v>
      </c>
      <c r="Q388" s="118"/>
      <c r="R388" s="120"/>
      <c r="AC388" s="134">
        <f t="shared" si="274"/>
        <v>4185.80599999999</v>
      </c>
      <c r="AD388" s="128">
        <v>16.27828125</v>
      </c>
      <c r="AE388" s="146">
        <f t="shared" si="275"/>
        <v>68137.72732593733</v>
      </c>
      <c r="AF388" s="146">
        <f>SUM(AE386:AE388)</f>
        <v>213422.15256140617</v>
      </c>
    </row>
    <row r="389" spans="1:32" s="54" customFormat="1" ht="12.75">
      <c r="A389" s="127">
        <v>39173</v>
      </c>
      <c r="B389" s="116">
        <v>39188</v>
      </c>
      <c r="C389" s="250">
        <v>12948.64</v>
      </c>
      <c r="D389" s="264">
        <f t="shared" si="271"/>
        <v>284.28999999999905</v>
      </c>
      <c r="E389" s="250"/>
      <c r="F389" s="264"/>
      <c r="G389" s="250">
        <v>35395.92</v>
      </c>
      <c r="H389" s="264">
        <f aca="true" t="shared" si="276" ref="H389:H396">G389-G388</f>
        <v>1261.5800000000017</v>
      </c>
      <c r="I389" s="250"/>
      <c r="J389" s="264"/>
      <c r="K389" s="250">
        <v>76882.9</v>
      </c>
      <c r="L389" s="264">
        <f aca="true" t="shared" si="277" ref="L389:L405">K389-K388</f>
        <v>2273.5399999999936</v>
      </c>
      <c r="Q389" s="118"/>
      <c r="R389" s="120"/>
      <c r="AC389" s="285">
        <f t="shared" si="274"/>
        <v>3592.055999999995</v>
      </c>
      <c r="AD389" s="143">
        <v>16.27828125</v>
      </c>
      <c r="AE389" s="144">
        <f t="shared" si="275"/>
        <v>58472.49783374992</v>
      </c>
      <c r="AF389" s="144"/>
    </row>
    <row r="390" spans="1:32" s="54" customFormat="1" ht="12.75">
      <c r="A390" s="127">
        <v>39203</v>
      </c>
      <c r="B390" s="116">
        <v>39219</v>
      </c>
      <c r="C390" s="250">
        <v>13088.4</v>
      </c>
      <c r="D390" s="192">
        <f t="shared" si="271"/>
        <v>139.76000000000022</v>
      </c>
      <c r="E390" s="250"/>
      <c r="F390" s="192"/>
      <c r="G390" s="250">
        <v>36086.34</v>
      </c>
      <c r="H390" s="192">
        <f t="shared" si="276"/>
        <v>690.4199999999983</v>
      </c>
      <c r="I390" s="250"/>
      <c r="J390" s="192"/>
      <c r="K390" s="250">
        <v>78032.84</v>
      </c>
      <c r="L390" s="192">
        <f t="shared" si="277"/>
        <v>1149.9400000000023</v>
      </c>
      <c r="Q390" s="118"/>
      <c r="R390" s="120"/>
      <c r="AC390" s="140">
        <f t="shared" si="274"/>
        <v>1865.1260000000007</v>
      </c>
      <c r="AD390" s="145">
        <v>16.27828125</v>
      </c>
      <c r="AE390" s="130">
        <f t="shared" si="275"/>
        <v>30361.045594687508</v>
      </c>
      <c r="AF390" s="130"/>
    </row>
    <row r="391" spans="1:32" s="115" customFormat="1" ht="13.5" thickBot="1">
      <c r="A391" s="127">
        <v>39234</v>
      </c>
      <c r="B391" s="116">
        <v>39246</v>
      </c>
      <c r="C391" s="71">
        <v>13120</v>
      </c>
      <c r="D391" s="61">
        <f t="shared" si="271"/>
        <v>31.600000000000364</v>
      </c>
      <c r="E391" s="60"/>
      <c r="F391" s="70"/>
      <c r="G391" s="60">
        <v>36425.88</v>
      </c>
      <c r="H391" s="70">
        <f t="shared" si="276"/>
        <v>339.5400000000009</v>
      </c>
      <c r="I391" s="60"/>
      <c r="J391" s="70"/>
      <c r="K391" s="60">
        <v>78557.63</v>
      </c>
      <c r="L391" s="70">
        <f t="shared" si="277"/>
        <v>524.7900000000081</v>
      </c>
      <c r="Q391" s="126"/>
      <c r="R391" s="177"/>
      <c r="AC391" s="134">
        <f t="shared" si="274"/>
        <v>843.4510000000087</v>
      </c>
      <c r="AD391" s="128">
        <v>16.27828125</v>
      </c>
      <c r="AE391" s="146">
        <f t="shared" si="275"/>
        <v>13729.93259859389</v>
      </c>
      <c r="AF391" s="146">
        <f>SUM(AE389:AE391)</f>
        <v>102563.47602703133</v>
      </c>
    </row>
    <row r="392" spans="1:32" s="54" customFormat="1" ht="12.75">
      <c r="A392" s="127">
        <v>39264</v>
      </c>
      <c r="B392" s="122">
        <v>39280</v>
      </c>
      <c r="C392" s="250">
        <v>13156.14</v>
      </c>
      <c r="D392" s="264">
        <f aca="true" t="shared" si="278" ref="D392:D397">C392-C391</f>
        <v>36.13999999999942</v>
      </c>
      <c r="E392" s="250"/>
      <c r="F392" s="264"/>
      <c r="G392" s="250">
        <v>36588.97</v>
      </c>
      <c r="H392" s="264">
        <f t="shared" si="276"/>
        <v>163.09000000000378</v>
      </c>
      <c r="I392" s="250"/>
      <c r="J392" s="264"/>
      <c r="K392" s="250">
        <v>78819.37</v>
      </c>
      <c r="L392" s="264">
        <f t="shared" si="277"/>
        <v>261.7399999999907</v>
      </c>
      <c r="Q392" s="118"/>
      <c r="R392" s="120"/>
      <c r="AC392" s="140">
        <f t="shared" si="274"/>
        <v>434.7959999999948</v>
      </c>
      <c r="AD392" s="143">
        <v>18.29953125</v>
      </c>
      <c r="AE392" s="130">
        <f>AC392*AD392</f>
        <v>7956.562989374906</v>
      </c>
      <c r="AF392" s="144"/>
    </row>
    <row r="393" spans="1:32" s="54" customFormat="1" ht="12.75">
      <c r="A393" s="127">
        <v>39295</v>
      </c>
      <c r="B393" s="122">
        <v>39309</v>
      </c>
      <c r="C393" s="250">
        <v>13174.75</v>
      </c>
      <c r="D393" s="192">
        <f t="shared" si="278"/>
        <v>18.610000000000582</v>
      </c>
      <c r="E393" s="250"/>
      <c r="F393" s="192"/>
      <c r="G393" s="250">
        <v>36690.6</v>
      </c>
      <c r="H393" s="192">
        <f t="shared" si="276"/>
        <v>101.62999999999738</v>
      </c>
      <c r="I393" s="250"/>
      <c r="J393" s="192"/>
      <c r="K393" s="250">
        <v>78951.3</v>
      </c>
      <c r="L393" s="192">
        <f t="shared" si="277"/>
        <v>131.93000000000757</v>
      </c>
      <c r="Q393" s="118"/>
      <c r="R393" s="120"/>
      <c r="AC393" s="140">
        <f t="shared" si="274"/>
        <v>238.97700000000478</v>
      </c>
      <c r="AD393" s="145">
        <v>18.29953125</v>
      </c>
      <c r="AE393" s="130">
        <f>AC393*AD393</f>
        <v>4373.167079531338</v>
      </c>
      <c r="AF393" s="130"/>
    </row>
    <row r="394" spans="1:32" s="54" customFormat="1" ht="13.5" thickBot="1">
      <c r="A394" s="199">
        <v>39326</v>
      </c>
      <c r="B394" s="122">
        <v>39344</v>
      </c>
      <c r="C394" s="191">
        <v>13219.56</v>
      </c>
      <c r="D394" s="194">
        <f t="shared" si="278"/>
        <v>44.80999999999949</v>
      </c>
      <c r="E394" s="191"/>
      <c r="F394" s="194"/>
      <c r="G394" s="191">
        <v>36868.13</v>
      </c>
      <c r="H394" s="194">
        <f t="shared" si="276"/>
        <v>177.52999999999884</v>
      </c>
      <c r="I394" s="191"/>
      <c r="J394" s="194"/>
      <c r="K394" s="191">
        <v>79209.67</v>
      </c>
      <c r="L394" s="194">
        <f t="shared" si="277"/>
        <v>258.36999999999534</v>
      </c>
      <c r="Q394" s="118"/>
      <c r="R394" s="120"/>
      <c r="AC394" s="134">
        <f t="shared" si="274"/>
        <v>454.87299999999414</v>
      </c>
      <c r="AD394" s="128">
        <v>18.29953125</v>
      </c>
      <c r="AE394" s="146">
        <f>AC394*AD394</f>
        <v>8323.962678281143</v>
      </c>
      <c r="AF394" s="146">
        <f>SUM(AE392:AE394)</f>
        <v>20653.692747187386</v>
      </c>
    </row>
    <row r="395" spans="1:32" s="54" customFormat="1" ht="12.75">
      <c r="A395" s="199">
        <v>39356</v>
      </c>
      <c r="B395" s="116">
        <v>39370</v>
      </c>
      <c r="C395" s="263">
        <v>13283.29</v>
      </c>
      <c r="D395" s="264">
        <f t="shared" si="278"/>
        <v>63.73000000000138</v>
      </c>
      <c r="E395" s="171"/>
      <c r="F395" s="65"/>
      <c r="G395" s="66">
        <v>37243.26</v>
      </c>
      <c r="H395" s="63">
        <f t="shared" si="276"/>
        <v>375.13000000000466</v>
      </c>
      <c r="I395" s="171"/>
      <c r="J395" s="65"/>
      <c r="K395" s="66">
        <v>79680.75</v>
      </c>
      <c r="L395" s="63">
        <f t="shared" si="277"/>
        <v>471.08000000000175</v>
      </c>
      <c r="Q395" s="118"/>
      <c r="R395" s="120"/>
      <c r="AC395" s="140">
        <f t="shared" si="274"/>
        <v>862.8320000000076</v>
      </c>
      <c r="AD395" s="143">
        <v>18.29953125</v>
      </c>
      <c r="AE395" s="130">
        <f aca="true" t="shared" si="279" ref="AE395:AE403">AC395*AD395</f>
        <v>15789.421147500141</v>
      </c>
      <c r="AF395" s="428"/>
    </row>
    <row r="396" spans="1:32" s="54" customFormat="1" ht="12.75">
      <c r="A396" s="199">
        <v>39387</v>
      </c>
      <c r="B396" s="116">
        <v>39405</v>
      </c>
      <c r="C396" s="250">
        <v>13534.68</v>
      </c>
      <c r="D396" s="192">
        <f t="shared" si="278"/>
        <v>251.38999999999942</v>
      </c>
      <c r="E396" s="171"/>
      <c r="F396" s="57"/>
      <c r="G396" s="58">
        <v>38188.7</v>
      </c>
      <c r="H396" s="59">
        <f t="shared" si="276"/>
        <v>945.439999999995</v>
      </c>
      <c r="I396" s="171"/>
      <c r="J396" s="57"/>
      <c r="K396" s="58">
        <v>81676.98</v>
      </c>
      <c r="L396" s="59">
        <f t="shared" si="277"/>
        <v>1996.229999999996</v>
      </c>
      <c r="Q396" s="118"/>
      <c r="R396" s="120"/>
      <c r="AC396" s="140">
        <f t="shared" si="274"/>
        <v>2993.436999999991</v>
      </c>
      <c r="AD396" s="145">
        <v>18.29953125</v>
      </c>
      <c r="AE396" s="130">
        <f t="shared" si="279"/>
        <v>54778.49392640609</v>
      </c>
      <c r="AF396" s="429"/>
    </row>
    <row r="397" spans="1:32" s="76" customFormat="1" ht="13.5" thickBot="1">
      <c r="A397" s="199">
        <v>39417</v>
      </c>
      <c r="B397" s="116">
        <v>39430</v>
      </c>
      <c r="C397" s="191">
        <v>13891</v>
      </c>
      <c r="D397" s="192">
        <f t="shared" si="278"/>
        <v>356.3199999999997</v>
      </c>
      <c r="E397" s="193"/>
      <c r="F397" s="194"/>
      <c r="G397" s="191">
        <v>39109.37</v>
      </c>
      <c r="H397" s="192">
        <f aca="true" t="shared" si="280" ref="H397:H405">G397-G396</f>
        <v>920.6700000000055</v>
      </c>
      <c r="I397" s="193"/>
      <c r="J397" s="194"/>
      <c r="K397" s="191">
        <v>84327.64</v>
      </c>
      <c r="L397" s="192">
        <f t="shared" si="277"/>
        <v>2650.6600000000035</v>
      </c>
      <c r="Q397" s="117"/>
      <c r="R397" s="112"/>
      <c r="AC397" s="427">
        <f t="shared" si="274"/>
        <v>3662.5840000000085</v>
      </c>
      <c r="AD397" s="318">
        <v>18.29953125</v>
      </c>
      <c r="AE397" s="277">
        <f t="shared" si="279"/>
        <v>67023.57036375016</v>
      </c>
      <c r="AF397" s="277">
        <f>SUM(AE395:AE397)</f>
        <v>137591.4854376564</v>
      </c>
    </row>
    <row r="398" spans="1:32" s="76" customFormat="1" ht="12.75">
      <c r="A398" s="322">
        <v>39448</v>
      </c>
      <c r="B398" s="116">
        <v>39461</v>
      </c>
      <c r="C398" s="263">
        <v>13984.15</v>
      </c>
      <c r="D398" s="264">
        <f aca="true" t="shared" si="281" ref="D398:D409">C398-C397</f>
        <v>93.14999999999964</v>
      </c>
      <c r="E398" s="250"/>
      <c r="F398" s="264"/>
      <c r="G398" s="250">
        <v>40165.5</v>
      </c>
      <c r="H398" s="264">
        <f t="shared" si="280"/>
        <v>1056.1299999999974</v>
      </c>
      <c r="I398" s="250"/>
      <c r="J398" s="264"/>
      <c r="K398" s="263">
        <v>87441</v>
      </c>
      <c r="L398" s="264">
        <f t="shared" si="277"/>
        <v>3113.3600000000006</v>
      </c>
      <c r="Q398" s="117"/>
      <c r="R398" s="112"/>
      <c r="AC398" s="314">
        <f t="shared" si="274"/>
        <v>3951.303999999998</v>
      </c>
      <c r="AD398" s="272">
        <v>18.29953125</v>
      </c>
      <c r="AE398" s="268">
        <f t="shared" si="279"/>
        <v>72307.01102624997</v>
      </c>
      <c r="AF398" s="273"/>
    </row>
    <row r="399" spans="1:32" s="76" customFormat="1" ht="12.75">
      <c r="A399" s="322">
        <v>39479</v>
      </c>
      <c r="B399" s="116">
        <v>39492</v>
      </c>
      <c r="C399" s="250">
        <v>14626.14</v>
      </c>
      <c r="D399" s="192">
        <f t="shared" si="281"/>
        <v>641.9899999999998</v>
      </c>
      <c r="E399" s="250"/>
      <c r="F399" s="192"/>
      <c r="G399" s="250">
        <v>41468.94</v>
      </c>
      <c r="H399" s="192">
        <f t="shared" si="280"/>
        <v>1303.4400000000023</v>
      </c>
      <c r="I399" s="250"/>
      <c r="J399" s="192"/>
      <c r="K399" s="250">
        <v>91178.59</v>
      </c>
      <c r="L399" s="192">
        <f t="shared" si="277"/>
        <v>3737.5899999999965</v>
      </c>
      <c r="Q399" s="117"/>
      <c r="R399" s="112"/>
      <c r="AC399" s="314">
        <f t="shared" si="274"/>
        <v>5309.260999999999</v>
      </c>
      <c r="AD399" s="267">
        <v>18.29953125</v>
      </c>
      <c r="AE399" s="268">
        <f t="shared" si="279"/>
        <v>97156.98758390623</v>
      </c>
      <c r="AF399" s="268"/>
    </row>
    <row r="400" spans="1:32" s="353" customFormat="1" ht="13.5" thickBot="1">
      <c r="A400" s="506">
        <v>39508</v>
      </c>
      <c r="B400" s="394">
        <v>39524</v>
      </c>
      <c r="C400" s="191">
        <v>15307.07</v>
      </c>
      <c r="D400" s="320">
        <f t="shared" si="281"/>
        <v>680.9300000000003</v>
      </c>
      <c r="E400" s="191"/>
      <c r="F400" s="321"/>
      <c r="G400" s="191">
        <v>42754.26</v>
      </c>
      <c r="H400" s="320">
        <f t="shared" si="280"/>
        <v>1285.3199999999997</v>
      </c>
      <c r="I400" s="191"/>
      <c r="J400" s="321"/>
      <c r="K400" s="191">
        <v>94738.88</v>
      </c>
      <c r="L400" s="320">
        <f t="shared" si="277"/>
        <v>3560.290000000008</v>
      </c>
      <c r="Q400" s="117"/>
      <c r="R400" s="112"/>
      <c r="AC400" s="427">
        <f t="shared" si="274"/>
        <v>5170.511000000008</v>
      </c>
      <c r="AD400" s="318">
        <v>18.29953125</v>
      </c>
      <c r="AE400" s="277">
        <f t="shared" si="279"/>
        <v>94617.9276229689</v>
      </c>
      <c r="AF400" s="277">
        <f>SUM(AE398:AE400)</f>
        <v>264081.9262331251</v>
      </c>
    </row>
    <row r="401" spans="1:32" s="353" customFormat="1" ht="12.75">
      <c r="A401" s="506">
        <v>39539</v>
      </c>
      <c r="B401" s="394">
        <v>39553</v>
      </c>
      <c r="C401" s="263">
        <v>15701.62</v>
      </c>
      <c r="D401" s="485">
        <f t="shared" si="281"/>
        <v>394.5500000000011</v>
      </c>
      <c r="E401" s="250"/>
      <c r="F401" s="485"/>
      <c r="G401" s="250">
        <v>43586.64</v>
      </c>
      <c r="H401" s="485">
        <f t="shared" si="280"/>
        <v>832.3799999999974</v>
      </c>
      <c r="I401" s="250"/>
      <c r="J401" s="485"/>
      <c r="K401" s="263">
        <v>97233.99</v>
      </c>
      <c r="L401" s="485">
        <f t="shared" si="277"/>
        <v>2495.1100000000006</v>
      </c>
      <c r="Q401" s="117"/>
      <c r="R401" s="112"/>
      <c r="AC401" s="314">
        <f t="shared" si="274"/>
        <v>3472.528999999999</v>
      </c>
      <c r="AD401" s="272">
        <v>18.29953125</v>
      </c>
      <c r="AE401" s="268">
        <f t="shared" si="279"/>
        <v>63545.65295203124</v>
      </c>
      <c r="AF401" s="273"/>
    </row>
    <row r="402" spans="1:32" s="353" customFormat="1" ht="12.75">
      <c r="A402" s="506">
        <v>39569</v>
      </c>
      <c r="B402" s="394">
        <v>39583</v>
      </c>
      <c r="C402" s="250">
        <v>15919.91</v>
      </c>
      <c r="D402" s="320">
        <f t="shared" si="281"/>
        <v>218.28999999999905</v>
      </c>
      <c r="E402" s="250"/>
      <c r="F402" s="320"/>
      <c r="G402" s="250">
        <v>43882.79</v>
      </c>
      <c r="H402" s="320">
        <f t="shared" si="280"/>
        <v>296.15000000000146</v>
      </c>
      <c r="I402" s="250"/>
      <c r="J402" s="320"/>
      <c r="K402" s="250">
        <v>98177.06</v>
      </c>
      <c r="L402" s="320">
        <f t="shared" si="277"/>
        <v>943.0699999999924</v>
      </c>
      <c r="Q402" s="117"/>
      <c r="R402" s="112"/>
      <c r="AC402" s="314">
        <f t="shared" si="274"/>
        <v>1363.2029999999936</v>
      </c>
      <c r="AD402" s="267">
        <v>18.29953125</v>
      </c>
      <c r="AE402" s="268">
        <f t="shared" si="279"/>
        <v>24945.975898593635</v>
      </c>
      <c r="AF402" s="268"/>
    </row>
    <row r="403" spans="1:32" s="487" customFormat="1" ht="13.5" thickBot="1">
      <c r="A403" s="506">
        <v>39600</v>
      </c>
      <c r="B403" s="178">
        <v>39615</v>
      </c>
      <c r="C403" s="430">
        <v>16011.5</v>
      </c>
      <c r="D403" s="321">
        <f t="shared" si="281"/>
        <v>91.59000000000015</v>
      </c>
      <c r="E403" s="191"/>
      <c r="F403" s="351"/>
      <c r="G403" s="430">
        <v>44069.03</v>
      </c>
      <c r="H403" s="320">
        <f t="shared" si="280"/>
        <v>186.23999999999796</v>
      </c>
      <c r="I403" s="191"/>
      <c r="J403" s="351"/>
      <c r="K403" s="430">
        <f>98177.06+1437</f>
        <v>99614.06</v>
      </c>
      <c r="L403" s="321">
        <f>K403-K402</f>
        <v>1437</v>
      </c>
      <c r="Q403" s="118"/>
      <c r="R403" s="120"/>
      <c r="AC403" s="134">
        <f t="shared" si="274"/>
        <v>1571.129999999998</v>
      </c>
      <c r="AD403" s="128">
        <v>18.29953125</v>
      </c>
      <c r="AE403" s="146">
        <f t="shared" si="279"/>
        <v>28750.942532812467</v>
      </c>
      <c r="AF403" s="146">
        <f>SUM(AE401:AE403)</f>
        <v>117242.57138343733</v>
      </c>
    </row>
    <row r="404" spans="1:32" s="355" customFormat="1" ht="12.75">
      <c r="A404" s="507">
        <v>39630</v>
      </c>
      <c r="B404" s="178">
        <v>39646</v>
      </c>
      <c r="C404" s="263">
        <v>16053.91</v>
      </c>
      <c r="D404" s="485">
        <f t="shared" si="281"/>
        <v>42.409999999999854</v>
      </c>
      <c r="E404" s="250"/>
      <c r="F404" s="501"/>
      <c r="G404" s="263">
        <v>44167.13</v>
      </c>
      <c r="H404" s="485">
        <f t="shared" si="280"/>
        <v>98.09999999999854</v>
      </c>
      <c r="I404" s="250"/>
      <c r="J404" s="485"/>
      <c r="K404" s="263">
        <v>99109.93</v>
      </c>
      <c r="L404" s="493">
        <f>AVERAGE(L392,L380)</f>
        <v>217.4599999999955</v>
      </c>
      <c r="M404" s="487"/>
      <c r="N404" s="487"/>
      <c r="O404" s="487"/>
      <c r="P404" s="487"/>
      <c r="Q404" s="118"/>
      <c r="R404" s="120"/>
      <c r="S404" s="487"/>
      <c r="T404" s="487"/>
      <c r="U404" s="487"/>
      <c r="V404" s="487"/>
      <c r="W404" s="487"/>
      <c r="X404" s="487"/>
      <c r="Y404" s="487"/>
      <c r="Z404" s="487"/>
      <c r="AA404" s="487"/>
      <c r="AB404" s="487"/>
      <c r="AC404" s="140">
        <f aca="true" t="shared" si="282" ref="AC404:AC415">D404+H404+L404*$K$3</f>
        <v>336.22399999999436</v>
      </c>
      <c r="AD404" s="143">
        <v>17.5772</v>
      </c>
      <c r="AE404" s="130">
        <f>AC404*AD404</f>
        <v>5909.876492799901</v>
      </c>
      <c r="AF404" s="144"/>
    </row>
    <row r="405" spans="1:32" s="355" customFormat="1" ht="12.75">
      <c r="A405" s="506">
        <v>39661</v>
      </c>
      <c r="B405" s="178">
        <v>39675</v>
      </c>
      <c r="C405" s="250">
        <v>16093.36</v>
      </c>
      <c r="D405" s="320">
        <f t="shared" si="281"/>
        <v>39.45000000000073</v>
      </c>
      <c r="E405" s="250"/>
      <c r="F405" s="75"/>
      <c r="G405" s="250">
        <v>44203.55</v>
      </c>
      <c r="H405" s="320">
        <f t="shared" si="280"/>
        <v>36.42000000000553</v>
      </c>
      <c r="I405" s="250"/>
      <c r="J405" s="320"/>
      <c r="K405" s="250">
        <v>99321.8</v>
      </c>
      <c r="L405" s="320">
        <f t="shared" si="277"/>
        <v>211.8700000000099</v>
      </c>
      <c r="M405" s="487"/>
      <c r="N405" s="487"/>
      <c r="O405" s="487"/>
      <c r="P405" s="487"/>
      <c r="Q405" s="118"/>
      <c r="R405" s="120"/>
      <c r="S405" s="487"/>
      <c r="T405" s="487"/>
      <c r="U405" s="487"/>
      <c r="V405" s="487"/>
      <c r="W405" s="487"/>
      <c r="X405" s="487"/>
      <c r="Y405" s="487"/>
      <c r="Z405" s="487"/>
      <c r="AA405" s="487"/>
      <c r="AB405" s="487"/>
      <c r="AC405" s="140">
        <f t="shared" si="282"/>
        <v>266.5530000000152</v>
      </c>
      <c r="AD405" s="145">
        <v>17.5772</v>
      </c>
      <c r="AE405" s="130">
        <f>AC405*AD405</f>
        <v>4685.255391600267</v>
      </c>
      <c r="AF405" s="130"/>
    </row>
    <row r="406" spans="1:32" s="355" customFormat="1" ht="13.5" thickBot="1">
      <c r="A406" s="507">
        <v>39692</v>
      </c>
      <c r="B406" s="178">
        <v>39706</v>
      </c>
      <c r="C406" s="430">
        <v>16136.91</v>
      </c>
      <c r="D406" s="321">
        <f t="shared" si="281"/>
        <v>43.54999999999927</v>
      </c>
      <c r="E406" s="191"/>
      <c r="F406" s="351"/>
      <c r="G406" s="191" t="s">
        <v>133</v>
      </c>
      <c r="H406" s="490">
        <v>67</v>
      </c>
      <c r="I406" s="60"/>
      <c r="J406" s="491"/>
      <c r="K406" s="477">
        <v>99542.29</v>
      </c>
      <c r="L406" s="491">
        <f aca="true" t="shared" si="283" ref="L406:L424">K406-K405</f>
        <v>220.4899999999907</v>
      </c>
      <c r="M406" s="487"/>
      <c r="N406" s="487"/>
      <c r="O406" s="487"/>
      <c r="P406" s="487"/>
      <c r="Q406" s="118"/>
      <c r="R406" s="120"/>
      <c r="S406" s="487"/>
      <c r="T406" s="487"/>
      <c r="U406" s="487"/>
      <c r="V406" s="487"/>
      <c r="W406" s="487"/>
      <c r="X406" s="487"/>
      <c r="Y406" s="487"/>
      <c r="Z406" s="487"/>
      <c r="AA406" s="487"/>
      <c r="AB406" s="487"/>
      <c r="AC406" s="134">
        <f t="shared" si="282"/>
        <v>308.9909999999909</v>
      </c>
      <c r="AD406" s="128">
        <v>17.5772</v>
      </c>
      <c r="AE406" s="146">
        <f>AC406*AD406</f>
        <v>5431.196605199841</v>
      </c>
      <c r="AF406" s="146">
        <f>SUM(AE404:AE406)</f>
        <v>16026.32848960001</v>
      </c>
    </row>
    <row r="407" spans="1:32" s="355" customFormat="1" ht="12.75">
      <c r="A407" s="506">
        <v>39722</v>
      </c>
      <c r="B407" s="178">
        <v>39736</v>
      </c>
      <c r="C407" s="263">
        <v>16246.28</v>
      </c>
      <c r="D407" s="485">
        <f t="shared" si="281"/>
        <v>109.3700000000008</v>
      </c>
      <c r="E407" s="171"/>
      <c r="F407" s="493"/>
      <c r="G407" s="263" t="s">
        <v>133</v>
      </c>
      <c r="H407" s="485">
        <f>H408</f>
        <v>540.6333333333314</v>
      </c>
      <c r="I407" s="171"/>
      <c r="J407" s="493"/>
      <c r="K407" s="263">
        <v>100443.57</v>
      </c>
      <c r="L407" s="485">
        <f t="shared" si="283"/>
        <v>901.2800000000134</v>
      </c>
      <c r="M407" s="487"/>
      <c r="N407" s="487"/>
      <c r="O407" s="487"/>
      <c r="P407" s="487"/>
      <c r="Q407" s="118"/>
      <c r="R407" s="120"/>
      <c r="S407" s="487"/>
      <c r="T407" s="487"/>
      <c r="U407" s="487"/>
      <c r="V407" s="487"/>
      <c r="W407" s="487"/>
      <c r="X407" s="487"/>
      <c r="Y407" s="487"/>
      <c r="Z407" s="487"/>
      <c r="AA407" s="487"/>
      <c r="AB407" s="487"/>
      <c r="AC407" s="140">
        <f t="shared" si="282"/>
        <v>1461.1553333333443</v>
      </c>
      <c r="AD407" s="143">
        <v>17.5772</v>
      </c>
      <c r="AE407" s="130">
        <f aca="true" t="shared" si="284" ref="AE407:AE415">AC407*AD407</f>
        <v>25683.019525066862</v>
      </c>
      <c r="AF407" s="428"/>
    </row>
    <row r="408" spans="1:32" s="355" customFormat="1" ht="12.75">
      <c r="A408" s="507">
        <v>39753</v>
      </c>
      <c r="B408" s="178">
        <v>39770</v>
      </c>
      <c r="C408" s="250">
        <v>16650.79</v>
      </c>
      <c r="D408" s="320">
        <f t="shared" si="281"/>
        <v>404.5100000000002</v>
      </c>
      <c r="E408" s="171"/>
      <c r="F408" s="168"/>
      <c r="G408" s="250" t="s">
        <v>133</v>
      </c>
      <c r="H408" s="320">
        <f>H409</f>
        <v>540.6333333333314</v>
      </c>
      <c r="I408" s="171"/>
      <c r="J408" s="168"/>
      <c r="K408" s="250">
        <v>102971.4</v>
      </c>
      <c r="L408" s="320">
        <f t="shared" si="283"/>
        <v>2527.829999999987</v>
      </c>
      <c r="M408" s="487"/>
      <c r="N408" s="487"/>
      <c r="O408" s="487"/>
      <c r="P408" s="487"/>
      <c r="Q408" s="118"/>
      <c r="R408" s="120"/>
      <c r="S408" s="487"/>
      <c r="T408" s="487"/>
      <c r="U408" s="487"/>
      <c r="V408" s="487"/>
      <c r="W408" s="487"/>
      <c r="X408" s="487"/>
      <c r="Y408" s="487"/>
      <c r="Z408" s="487"/>
      <c r="AA408" s="487"/>
      <c r="AB408" s="487"/>
      <c r="AC408" s="140">
        <f t="shared" si="282"/>
        <v>3220.1903333333203</v>
      </c>
      <c r="AD408" s="145">
        <v>17.5772</v>
      </c>
      <c r="AE408" s="130">
        <f t="shared" si="284"/>
        <v>56601.929527066444</v>
      </c>
      <c r="AF408" s="429"/>
    </row>
    <row r="409" spans="1:32" s="353" customFormat="1" ht="13.5" thickBot="1">
      <c r="A409" s="506">
        <v>39783</v>
      </c>
      <c r="B409" s="394">
        <v>39797</v>
      </c>
      <c r="C409" s="430">
        <v>17233.97</v>
      </c>
      <c r="D409" s="321">
        <f t="shared" si="281"/>
        <v>583.1800000000003</v>
      </c>
      <c r="E409" s="193"/>
      <c r="F409" s="321"/>
      <c r="G409" s="193">
        <v>45892.45</v>
      </c>
      <c r="H409" s="321">
        <f>(G409-G405-H406)/3</f>
        <v>540.6333333333314</v>
      </c>
      <c r="I409" s="193"/>
      <c r="J409" s="321"/>
      <c r="K409" s="430">
        <v>106070.84</v>
      </c>
      <c r="L409" s="321">
        <f t="shared" si="283"/>
        <v>3099.4400000000023</v>
      </c>
      <c r="Q409" s="117"/>
      <c r="R409" s="112"/>
      <c r="AC409" s="427">
        <f t="shared" si="282"/>
        <v>3913.309333333334</v>
      </c>
      <c r="AD409" s="318">
        <v>17.5772</v>
      </c>
      <c r="AE409" s="277">
        <f t="shared" si="284"/>
        <v>68785.02081386668</v>
      </c>
      <c r="AF409" s="277">
        <f>SUM(AE407:AE409)</f>
        <v>151069.969866</v>
      </c>
    </row>
    <row r="410" spans="1:32" s="353" customFormat="1" ht="12.75">
      <c r="A410" s="507">
        <v>39814</v>
      </c>
      <c r="B410" s="394">
        <v>39829</v>
      </c>
      <c r="C410" s="263">
        <v>18047.29</v>
      </c>
      <c r="D410" s="485">
        <f aca="true" t="shared" si="285" ref="D410:D433">C410-C409</f>
        <v>813.3199999999997</v>
      </c>
      <c r="E410" s="250"/>
      <c r="F410" s="485"/>
      <c r="G410" s="250">
        <v>46800.28</v>
      </c>
      <c r="H410" s="485">
        <f aca="true" t="shared" si="286" ref="H410:H433">G410-G409</f>
        <v>907.8300000000017</v>
      </c>
      <c r="I410" s="250"/>
      <c r="J410" s="485"/>
      <c r="K410" s="263">
        <v>109874.44</v>
      </c>
      <c r="L410" s="485">
        <f t="shared" si="283"/>
        <v>3803.600000000006</v>
      </c>
      <c r="Q410" s="117"/>
      <c r="R410" s="112"/>
      <c r="AC410" s="314">
        <f t="shared" si="282"/>
        <v>5144.390000000007</v>
      </c>
      <c r="AD410" s="272">
        <v>17.5772</v>
      </c>
      <c r="AE410" s="268">
        <f t="shared" si="284"/>
        <v>90423.97190800012</v>
      </c>
      <c r="AF410" s="273"/>
    </row>
    <row r="411" spans="1:32" s="353" customFormat="1" ht="12.75">
      <c r="A411" s="506">
        <v>39845</v>
      </c>
      <c r="B411" s="394">
        <v>39861</v>
      </c>
      <c r="C411" s="250">
        <v>18860.07</v>
      </c>
      <c r="D411" s="320">
        <f t="shared" si="285"/>
        <v>812.7799999999988</v>
      </c>
      <c r="E411" s="250"/>
      <c r="F411" s="320"/>
      <c r="G411" s="250">
        <v>47868.82</v>
      </c>
      <c r="H411" s="320">
        <f t="shared" si="286"/>
        <v>1068.5400000000009</v>
      </c>
      <c r="I411" s="250"/>
      <c r="J411" s="320"/>
      <c r="K411" s="250">
        <v>113742.96</v>
      </c>
      <c r="L411" s="320">
        <f t="shared" si="283"/>
        <v>3868.520000000004</v>
      </c>
      <c r="Q411" s="117"/>
      <c r="R411" s="112"/>
      <c r="AC411" s="314">
        <f t="shared" si="282"/>
        <v>5362.988000000003</v>
      </c>
      <c r="AD411" s="267">
        <v>17.5772</v>
      </c>
      <c r="AE411" s="268">
        <f t="shared" si="284"/>
        <v>94266.31267360006</v>
      </c>
      <c r="AF411" s="268"/>
    </row>
    <row r="412" spans="1:32" s="353" customFormat="1" ht="13.5" thickBot="1">
      <c r="A412" s="507">
        <v>39873</v>
      </c>
      <c r="B412" s="394">
        <v>39889</v>
      </c>
      <c r="C412" s="191">
        <v>19457.16</v>
      </c>
      <c r="D412" s="321">
        <f t="shared" si="285"/>
        <v>597.0900000000001</v>
      </c>
      <c r="E412" s="191"/>
      <c r="F412" s="321"/>
      <c r="G412" s="191">
        <v>48688.76</v>
      </c>
      <c r="H412" s="321">
        <f t="shared" si="286"/>
        <v>819.9400000000023</v>
      </c>
      <c r="I412" s="191"/>
      <c r="J412" s="321"/>
      <c r="K412" s="191">
        <v>116595.32</v>
      </c>
      <c r="L412" s="321">
        <f t="shared" si="283"/>
        <v>2852.3600000000006</v>
      </c>
      <c r="Q412" s="117"/>
      <c r="R412" s="112"/>
      <c r="AC412" s="427">
        <f t="shared" si="282"/>
        <v>3984.154000000003</v>
      </c>
      <c r="AD412" s="318">
        <v>17.5772</v>
      </c>
      <c r="AE412" s="277">
        <f t="shared" si="284"/>
        <v>70030.27168880006</v>
      </c>
      <c r="AF412" s="277">
        <f>SUM(AE410:AE412)</f>
        <v>254720.55627040024</v>
      </c>
    </row>
    <row r="413" spans="1:32" s="353" customFormat="1" ht="12.75">
      <c r="A413" s="506">
        <v>39904</v>
      </c>
      <c r="B413" s="495">
        <v>39923</v>
      </c>
      <c r="C413" s="263">
        <v>19948.46</v>
      </c>
      <c r="D413" s="485">
        <f t="shared" si="285"/>
        <v>491.2999999999993</v>
      </c>
      <c r="E413" s="263"/>
      <c r="F413" s="485"/>
      <c r="G413" s="250">
        <v>49428.88</v>
      </c>
      <c r="H413" s="485">
        <f t="shared" si="286"/>
        <v>740.1199999999953</v>
      </c>
      <c r="I413" s="263"/>
      <c r="J413" s="485"/>
      <c r="K413" s="263">
        <v>119121.88</v>
      </c>
      <c r="L413" s="485">
        <f t="shared" si="283"/>
        <v>2526.5599999999977</v>
      </c>
      <c r="Q413" s="117"/>
      <c r="R413" s="112"/>
      <c r="AC413" s="314">
        <f t="shared" si="282"/>
        <v>3505.323999999993</v>
      </c>
      <c r="AD413" s="272">
        <v>17.5772</v>
      </c>
      <c r="AE413" s="268">
        <f t="shared" si="284"/>
        <v>61613.781012799875</v>
      </c>
      <c r="AF413" s="273"/>
    </row>
    <row r="414" spans="1:32" s="353" customFormat="1" ht="12.75">
      <c r="A414" s="507">
        <v>39934</v>
      </c>
      <c r="B414" s="495">
        <v>39948</v>
      </c>
      <c r="C414" s="250">
        <v>20154.6</v>
      </c>
      <c r="D414" s="320">
        <f t="shared" si="285"/>
        <v>206.13999999999942</v>
      </c>
      <c r="E414" s="250"/>
      <c r="F414" s="320"/>
      <c r="G414" s="250">
        <v>49666.78</v>
      </c>
      <c r="H414" s="320">
        <f t="shared" si="286"/>
        <v>237.90000000000146</v>
      </c>
      <c r="I414" s="250"/>
      <c r="J414" s="320"/>
      <c r="K414" s="250">
        <v>120279.62</v>
      </c>
      <c r="L414" s="320">
        <f t="shared" si="283"/>
        <v>1157.7399999999907</v>
      </c>
      <c r="Q414" s="117"/>
      <c r="R414" s="112"/>
      <c r="AC414" s="314">
        <f t="shared" si="282"/>
        <v>1486.0059999999926</v>
      </c>
      <c r="AD414" s="267">
        <v>17.5772</v>
      </c>
      <c r="AE414" s="268">
        <f t="shared" si="284"/>
        <v>26119.82466319987</v>
      </c>
      <c r="AF414" s="268"/>
    </row>
    <row r="415" spans="1:32" s="355" customFormat="1" ht="13.5" thickBot="1">
      <c r="A415" s="354">
        <v>39965</v>
      </c>
      <c r="B415" s="462">
        <v>39979</v>
      </c>
      <c r="C415" s="191">
        <v>20344.92</v>
      </c>
      <c r="D415" s="321">
        <f t="shared" si="285"/>
        <v>190.3199999999997</v>
      </c>
      <c r="E415" s="191"/>
      <c r="F415" s="351"/>
      <c r="G415" s="191">
        <v>49821.03</v>
      </c>
      <c r="H415" s="321">
        <f t="shared" si="286"/>
        <v>154.25</v>
      </c>
      <c r="I415" s="191"/>
      <c r="J415" s="351"/>
      <c r="K415" s="191">
        <v>121266.96</v>
      </c>
      <c r="L415" s="321">
        <f t="shared" si="283"/>
        <v>987.3400000000111</v>
      </c>
      <c r="M415" s="487"/>
      <c r="N415" s="487"/>
      <c r="O415" s="487"/>
      <c r="P415" s="487"/>
      <c r="Q415" s="118"/>
      <c r="R415" s="120"/>
      <c r="S415" s="487"/>
      <c r="T415" s="487"/>
      <c r="U415" s="487"/>
      <c r="V415" s="487"/>
      <c r="W415" s="487"/>
      <c r="X415" s="487"/>
      <c r="Y415" s="487"/>
      <c r="Z415" s="487"/>
      <c r="AA415" s="487"/>
      <c r="AB415" s="487"/>
      <c r="AC415" s="134">
        <f t="shared" si="282"/>
        <v>1233.1760000000097</v>
      </c>
      <c r="AD415" s="128">
        <v>17.5772</v>
      </c>
      <c r="AE415" s="146">
        <f t="shared" si="284"/>
        <v>21675.781187200173</v>
      </c>
      <c r="AF415" s="146">
        <f>SUM(AE413:AE415)</f>
        <v>109409.38686319992</v>
      </c>
    </row>
    <row r="416" spans="1:32" s="115" customFormat="1" ht="12.75">
      <c r="A416" s="121">
        <v>39995</v>
      </c>
      <c r="B416" s="462">
        <v>40011</v>
      </c>
      <c r="C416" s="481">
        <v>20423</v>
      </c>
      <c r="D416" s="463">
        <f t="shared" si="285"/>
        <v>78.08000000000175</v>
      </c>
      <c r="E416" s="464"/>
      <c r="F416" s="466"/>
      <c r="G416" s="481">
        <v>49892</v>
      </c>
      <c r="H416" s="463">
        <f t="shared" si="286"/>
        <v>70.97000000000116</v>
      </c>
      <c r="I416" s="464"/>
      <c r="J416" s="466"/>
      <c r="K416" s="481">
        <v>121398</v>
      </c>
      <c r="L416" s="264">
        <f t="shared" si="283"/>
        <v>131.0399999999936</v>
      </c>
      <c r="M416" s="54"/>
      <c r="N416" s="54"/>
      <c r="O416" s="54"/>
      <c r="P416" s="54"/>
      <c r="Q416" s="118"/>
      <c r="R416" s="120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159">
        <f aca="true" t="shared" si="287" ref="AC416:AC430">D416+H416+L416*$K$3</f>
        <v>266.98599999999715</v>
      </c>
      <c r="AD416" s="160">
        <v>16.71140625</v>
      </c>
      <c r="AE416" s="184">
        <f>AC416*AD416</f>
        <v>4461.711509062452</v>
      </c>
      <c r="AF416" s="431"/>
    </row>
    <row r="417" spans="1:32" s="115" customFormat="1" ht="12.75">
      <c r="A417" s="121">
        <v>40026</v>
      </c>
      <c r="B417" s="462">
        <v>40042</v>
      </c>
      <c r="C417" s="482">
        <v>20483</v>
      </c>
      <c r="D417" s="468">
        <f t="shared" si="285"/>
        <v>60</v>
      </c>
      <c r="E417" s="469"/>
      <c r="F417" s="470"/>
      <c r="G417" s="482">
        <v>49936</v>
      </c>
      <c r="H417" s="468">
        <f t="shared" si="286"/>
        <v>44</v>
      </c>
      <c r="I417" s="469"/>
      <c r="J417" s="470"/>
      <c r="K417" s="482">
        <v>121671</v>
      </c>
      <c r="L417" s="192">
        <f t="shared" si="283"/>
        <v>273</v>
      </c>
      <c r="M417" s="54"/>
      <c r="N417" s="54"/>
      <c r="O417" s="54"/>
      <c r="P417" s="54"/>
      <c r="Q417" s="118"/>
      <c r="R417" s="120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159">
        <f t="shared" si="287"/>
        <v>349.70000000000005</v>
      </c>
      <c r="AD417" s="163">
        <v>16.71140625</v>
      </c>
      <c r="AE417" s="184">
        <f>AC417*AD417</f>
        <v>5843.978765625001</v>
      </c>
      <c r="AF417" s="184"/>
    </row>
    <row r="418" spans="1:32" s="115" customFormat="1" ht="13.5" thickBot="1">
      <c r="A418" s="121">
        <v>40057</v>
      </c>
      <c r="B418" s="462">
        <v>40071</v>
      </c>
      <c r="C418" s="483">
        <v>20570</v>
      </c>
      <c r="D418" s="471">
        <f t="shared" si="285"/>
        <v>87</v>
      </c>
      <c r="E418" s="438"/>
      <c r="F418" s="473"/>
      <c r="G418" s="483">
        <v>50022</v>
      </c>
      <c r="H418" s="471">
        <f t="shared" si="286"/>
        <v>86</v>
      </c>
      <c r="I418" s="438"/>
      <c r="J418" s="473"/>
      <c r="K418" s="483">
        <v>122016</v>
      </c>
      <c r="L418" s="194">
        <f t="shared" si="283"/>
        <v>345</v>
      </c>
      <c r="M418" s="54"/>
      <c r="N418" s="54"/>
      <c r="O418" s="54"/>
      <c r="P418" s="54"/>
      <c r="Q418" s="118"/>
      <c r="R418" s="120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165">
        <f t="shared" si="287"/>
        <v>483.5</v>
      </c>
      <c r="AD418" s="189">
        <v>16.71140625</v>
      </c>
      <c r="AE418" s="190">
        <f>AC418*AD418</f>
        <v>8079.964921875</v>
      </c>
      <c r="AF418" s="190">
        <f>SUM(AE416:AE418)</f>
        <v>18385.655196562453</v>
      </c>
    </row>
    <row r="419" spans="1:32" s="115" customFormat="1" ht="12.75">
      <c r="A419" s="121">
        <v>40087</v>
      </c>
      <c r="B419" s="462">
        <v>40102</v>
      </c>
      <c r="C419" s="481">
        <v>20843.09</v>
      </c>
      <c r="D419" s="463">
        <f t="shared" si="285"/>
        <v>273.09000000000015</v>
      </c>
      <c r="E419" s="464"/>
      <c r="F419" s="466"/>
      <c r="G419" s="481">
        <v>50394.07</v>
      </c>
      <c r="H419" s="463">
        <f t="shared" si="286"/>
        <v>372.0699999999997</v>
      </c>
      <c r="I419" s="464"/>
      <c r="J419" s="466"/>
      <c r="K419" s="481">
        <v>123369.78</v>
      </c>
      <c r="L419" s="264">
        <f t="shared" si="283"/>
        <v>1353.7799999999988</v>
      </c>
      <c r="M419" s="54"/>
      <c r="N419" s="54"/>
      <c r="O419" s="54"/>
      <c r="P419" s="54"/>
      <c r="Q419" s="118"/>
      <c r="R419" s="120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159">
        <f t="shared" si="287"/>
        <v>1863.5619999999988</v>
      </c>
      <c r="AD419" s="160">
        <v>16.71140625</v>
      </c>
      <c r="AE419" s="184">
        <f aca="true" t="shared" si="288" ref="AE419:AE430">AC419*AD419</f>
        <v>31142.74165406248</v>
      </c>
      <c r="AF419" s="431"/>
    </row>
    <row r="420" spans="1:32" s="115" customFormat="1" ht="12.75">
      <c r="A420" s="121">
        <v>40118</v>
      </c>
      <c r="B420" s="462">
        <v>40133</v>
      </c>
      <c r="C420" s="482">
        <v>21197.67</v>
      </c>
      <c r="D420" s="468">
        <f t="shared" si="285"/>
        <v>354.5799999999981</v>
      </c>
      <c r="E420" s="469"/>
      <c r="F420" s="470"/>
      <c r="G420" s="482">
        <v>50912.34</v>
      </c>
      <c r="H420" s="468">
        <f t="shared" si="286"/>
        <v>518.2699999999968</v>
      </c>
      <c r="I420" s="469"/>
      <c r="J420" s="470"/>
      <c r="K420" s="482">
        <v>125249.2</v>
      </c>
      <c r="L420" s="192">
        <f t="shared" si="283"/>
        <v>1879.4199999999983</v>
      </c>
      <c r="M420" s="54"/>
      <c r="N420" s="54"/>
      <c r="O420" s="54"/>
      <c r="P420" s="54"/>
      <c r="Q420" s="118"/>
      <c r="R420" s="120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159">
        <f t="shared" si="287"/>
        <v>2564.327999999993</v>
      </c>
      <c r="AD420" s="163">
        <v>16.71140625</v>
      </c>
      <c r="AE420" s="184">
        <f t="shared" si="288"/>
        <v>42853.52696624988</v>
      </c>
      <c r="AF420" s="184"/>
    </row>
    <row r="421" spans="1:32" s="115" customFormat="1" ht="13.5" thickBot="1">
      <c r="A421" s="121">
        <v>40148</v>
      </c>
      <c r="B421" s="462">
        <v>40162</v>
      </c>
      <c r="C421" s="483">
        <v>21686.7</v>
      </c>
      <c r="D421" s="471">
        <f t="shared" si="285"/>
        <v>489.0300000000025</v>
      </c>
      <c r="E421" s="438"/>
      <c r="F421" s="473"/>
      <c r="G421" s="483">
        <v>51638.59</v>
      </c>
      <c r="H421" s="471">
        <f t="shared" si="286"/>
        <v>726.25</v>
      </c>
      <c r="I421" s="438"/>
      <c r="J421" s="473"/>
      <c r="K421" s="483">
        <v>127856.28</v>
      </c>
      <c r="L421" s="194">
        <f t="shared" si="283"/>
        <v>2607.0800000000017</v>
      </c>
      <c r="M421" s="54"/>
      <c r="N421" s="54"/>
      <c r="O421" s="54"/>
      <c r="P421" s="54"/>
      <c r="Q421" s="118"/>
      <c r="R421" s="120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165">
        <f t="shared" si="287"/>
        <v>3561.652000000004</v>
      </c>
      <c r="AD421" s="189">
        <v>16.71140625</v>
      </c>
      <c r="AE421" s="190">
        <f t="shared" si="288"/>
        <v>59520.21349312507</v>
      </c>
      <c r="AF421" s="190">
        <f>SUM(AE419:AE421)</f>
        <v>133516.48211343744</v>
      </c>
    </row>
    <row r="422" spans="1:32" s="115" customFormat="1" ht="12.75">
      <c r="A422" s="121">
        <v>40179</v>
      </c>
      <c r="B422" s="462">
        <v>40193</v>
      </c>
      <c r="C422" s="481">
        <v>22491.3</v>
      </c>
      <c r="D422" s="463">
        <f t="shared" si="285"/>
        <v>804.5999999999985</v>
      </c>
      <c r="E422" s="464"/>
      <c r="F422" s="466"/>
      <c r="G422" s="481">
        <v>52674.45</v>
      </c>
      <c r="H422" s="463">
        <f t="shared" si="286"/>
        <v>1035.8600000000006</v>
      </c>
      <c r="I422" s="464"/>
      <c r="J422" s="466"/>
      <c r="K422" s="481">
        <v>131144.14</v>
      </c>
      <c r="L422" s="264">
        <f t="shared" si="283"/>
        <v>3287.860000000015</v>
      </c>
      <c r="M422" s="54"/>
      <c r="N422" s="54"/>
      <c r="O422" s="54"/>
      <c r="P422" s="54"/>
      <c r="Q422" s="118"/>
      <c r="R422" s="120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159">
        <f t="shared" si="287"/>
        <v>4799.534000000012</v>
      </c>
      <c r="AD422" s="160">
        <v>16.71140625</v>
      </c>
      <c r="AE422" s="184">
        <f t="shared" si="288"/>
        <v>80206.9624846877</v>
      </c>
      <c r="AF422" s="431"/>
    </row>
    <row r="423" spans="1:32" s="115" customFormat="1" ht="12.75">
      <c r="A423" s="121">
        <v>40210</v>
      </c>
      <c r="B423" s="462">
        <v>40224</v>
      </c>
      <c r="C423" s="482">
        <v>23280.93</v>
      </c>
      <c r="D423" s="468">
        <f t="shared" si="285"/>
        <v>789.630000000001</v>
      </c>
      <c r="E423" s="469"/>
      <c r="F423" s="470"/>
      <c r="G423" s="482">
        <v>53542.58</v>
      </c>
      <c r="H423" s="468">
        <f t="shared" si="286"/>
        <v>868.1300000000047</v>
      </c>
      <c r="I423" s="469"/>
      <c r="J423" s="470"/>
      <c r="K423" s="482">
        <v>134500.62</v>
      </c>
      <c r="L423" s="192">
        <f t="shared" si="283"/>
        <v>3356.4799999999814</v>
      </c>
      <c r="M423" s="54"/>
      <c r="N423" s="54"/>
      <c r="O423" s="54"/>
      <c r="P423" s="54"/>
      <c r="Q423" s="118"/>
      <c r="R423" s="120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159">
        <f t="shared" si="287"/>
        <v>4678.59199999999</v>
      </c>
      <c r="AD423" s="163">
        <v>16.71140625</v>
      </c>
      <c r="AE423" s="184">
        <f t="shared" si="288"/>
        <v>78185.85158999983</v>
      </c>
      <c r="AF423" s="184"/>
    </row>
    <row r="424" spans="1:32" s="115" customFormat="1" ht="13.5" thickBot="1">
      <c r="A424" s="121">
        <v>40238</v>
      </c>
      <c r="B424" s="462">
        <v>40252</v>
      </c>
      <c r="C424" s="483">
        <v>23849.5</v>
      </c>
      <c r="D424" s="471">
        <f t="shared" si="285"/>
        <v>568.5699999999997</v>
      </c>
      <c r="E424" s="438"/>
      <c r="F424" s="473"/>
      <c r="G424" s="483">
        <v>54157.21</v>
      </c>
      <c r="H424" s="471">
        <f t="shared" si="286"/>
        <v>614.6299999999974</v>
      </c>
      <c r="I424" s="438"/>
      <c r="J424" s="473"/>
      <c r="K424" s="483">
        <v>136989.75</v>
      </c>
      <c r="L424" s="194">
        <f t="shared" si="283"/>
        <v>2489.1300000000047</v>
      </c>
      <c r="M424" s="54"/>
      <c r="N424" s="54"/>
      <c r="O424" s="54"/>
      <c r="P424" s="54"/>
      <c r="Q424" s="118"/>
      <c r="R424" s="120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165">
        <f t="shared" si="287"/>
        <v>3423.4170000000013</v>
      </c>
      <c r="AD424" s="189">
        <v>16.71140625</v>
      </c>
      <c r="AE424" s="190">
        <f t="shared" si="288"/>
        <v>57210.11225015627</v>
      </c>
      <c r="AF424" s="190">
        <f>SUM(AE422:AE424)</f>
        <v>215602.9263248438</v>
      </c>
    </row>
    <row r="425" spans="1:32" s="115" customFormat="1" ht="12.75">
      <c r="A425" s="121">
        <v>40269</v>
      </c>
      <c r="B425" s="462">
        <v>40284</v>
      </c>
      <c r="C425" s="481">
        <v>24247.86</v>
      </c>
      <c r="D425" s="463">
        <f t="shared" si="285"/>
        <v>398.3600000000006</v>
      </c>
      <c r="E425" s="464"/>
      <c r="F425" s="466"/>
      <c r="G425" s="481">
        <v>54692.73</v>
      </c>
      <c r="H425" s="463">
        <f t="shared" si="286"/>
        <v>535.5200000000041</v>
      </c>
      <c r="I425" s="464"/>
      <c r="J425" s="466"/>
      <c r="K425" s="481">
        <v>138764.18</v>
      </c>
      <c r="L425" s="264">
        <f aca="true" t="shared" si="289" ref="L425:L433">L413</f>
        <v>2526.5599999999977</v>
      </c>
      <c r="M425" s="54"/>
      <c r="N425" s="54"/>
      <c r="O425" s="54"/>
      <c r="P425" s="54"/>
      <c r="Q425" s="118"/>
      <c r="R425" s="120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159">
        <f t="shared" si="287"/>
        <v>3207.784000000003</v>
      </c>
      <c r="AD425" s="160">
        <v>16.71140625</v>
      </c>
      <c r="AE425" s="184">
        <f t="shared" si="288"/>
        <v>53606.581586250046</v>
      </c>
      <c r="AF425" s="431"/>
    </row>
    <row r="426" spans="1:32" s="115" customFormat="1" ht="12.75">
      <c r="A426" s="121">
        <v>40299</v>
      </c>
      <c r="B426" s="462">
        <v>40312</v>
      </c>
      <c r="C426" s="482">
        <v>24550.36</v>
      </c>
      <c r="D426" s="468">
        <f t="shared" si="285"/>
        <v>302.5</v>
      </c>
      <c r="E426" s="469"/>
      <c r="F426" s="470"/>
      <c r="G426" s="482">
        <v>55100.92</v>
      </c>
      <c r="H426" s="468">
        <f t="shared" si="286"/>
        <v>408.18999999999505</v>
      </c>
      <c r="I426" s="469"/>
      <c r="J426" s="470"/>
      <c r="K426" s="482">
        <v>140041.8</v>
      </c>
      <c r="L426" s="192">
        <f t="shared" si="289"/>
        <v>1157.7399999999907</v>
      </c>
      <c r="M426" s="54"/>
      <c r="N426" s="54"/>
      <c r="O426" s="54"/>
      <c r="P426" s="54"/>
      <c r="Q426" s="118"/>
      <c r="R426" s="120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159">
        <f t="shared" si="287"/>
        <v>1752.6559999999868</v>
      </c>
      <c r="AD426" s="163">
        <v>16.71140625</v>
      </c>
      <c r="AE426" s="184">
        <f t="shared" si="288"/>
        <v>29289.346432499777</v>
      </c>
      <c r="AF426" s="184"/>
    </row>
    <row r="427" spans="1:32" s="115" customFormat="1" ht="13.5" thickBot="1">
      <c r="A427" s="121">
        <v>40330</v>
      </c>
      <c r="B427" s="462">
        <v>40343</v>
      </c>
      <c r="C427" s="483">
        <v>24677.29</v>
      </c>
      <c r="D427" s="471">
        <f t="shared" si="285"/>
        <v>126.93000000000029</v>
      </c>
      <c r="E427" s="438"/>
      <c r="F427" s="473"/>
      <c r="G427" s="483">
        <v>55232.33</v>
      </c>
      <c r="H427" s="471">
        <f t="shared" si="286"/>
        <v>131.4100000000035</v>
      </c>
      <c r="I427" s="438"/>
      <c r="J427" s="473"/>
      <c r="K427" s="483">
        <v>140490.89</v>
      </c>
      <c r="L427" s="194">
        <f t="shared" si="289"/>
        <v>987.3400000000111</v>
      </c>
      <c r="M427" s="54"/>
      <c r="N427" s="54"/>
      <c r="O427" s="54"/>
      <c r="P427" s="54"/>
      <c r="Q427" s="118"/>
      <c r="R427" s="120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165">
        <f t="shared" si="287"/>
        <v>1146.9460000000138</v>
      </c>
      <c r="AD427" s="189">
        <v>16.71140625</v>
      </c>
      <c r="AE427" s="190">
        <f t="shared" si="288"/>
        <v>19167.08055281273</v>
      </c>
      <c r="AF427" s="190">
        <f>SUM(AE425:AE427)</f>
        <v>102063.00857156256</v>
      </c>
    </row>
    <row r="428" spans="1:32" s="115" customFormat="1" ht="12.75">
      <c r="A428" s="121">
        <v>40360</v>
      </c>
      <c r="B428" s="462">
        <v>40375</v>
      </c>
      <c r="C428" s="481">
        <v>24733.21</v>
      </c>
      <c r="D428" s="463">
        <f t="shared" si="285"/>
        <v>55.919999999998254</v>
      </c>
      <c r="E428" s="464"/>
      <c r="F428" s="466"/>
      <c r="G428" s="481">
        <v>55251.21</v>
      </c>
      <c r="H428" s="463">
        <f t="shared" si="286"/>
        <v>18.87999999999738</v>
      </c>
      <c r="I428" s="464"/>
      <c r="J428" s="466"/>
      <c r="K428" s="481">
        <v>140674.93</v>
      </c>
      <c r="L428" s="264">
        <f t="shared" si="289"/>
        <v>131.0399999999936</v>
      </c>
      <c r="M428" s="54"/>
      <c r="N428" s="54"/>
      <c r="O428" s="54"/>
      <c r="P428" s="54"/>
      <c r="Q428" s="118"/>
      <c r="R428" s="120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159">
        <f>D428+H428+L428*$K$3</f>
        <v>192.73599999998987</v>
      </c>
      <c r="AD428" s="160">
        <f>Rates!$D$40</f>
        <v>12.921562499999999</v>
      </c>
      <c r="AE428" s="184">
        <f t="shared" si="288"/>
        <v>2490.450269999869</v>
      </c>
      <c r="AF428" s="431"/>
    </row>
    <row r="429" spans="1:32" s="115" customFormat="1" ht="12.75">
      <c r="A429" s="121">
        <v>40391</v>
      </c>
      <c r="B429" s="462">
        <v>40406</v>
      </c>
      <c r="C429" s="482">
        <v>24788.01</v>
      </c>
      <c r="D429" s="468">
        <f t="shared" si="285"/>
        <v>54.79999999999927</v>
      </c>
      <c r="E429" s="469"/>
      <c r="F429" s="470"/>
      <c r="G429" s="482">
        <v>55251.41</v>
      </c>
      <c r="H429" s="468">
        <f t="shared" si="286"/>
        <v>0.20000000000436557</v>
      </c>
      <c r="I429" s="469"/>
      <c r="J429" s="470"/>
      <c r="K429" s="482">
        <v>140785.24</v>
      </c>
      <c r="L429" s="192">
        <f t="shared" si="289"/>
        <v>273</v>
      </c>
      <c r="M429" s="54"/>
      <c r="N429" s="54"/>
      <c r="O429" s="54"/>
      <c r="P429" s="54"/>
      <c r="Q429" s="118"/>
      <c r="R429" s="120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159">
        <f t="shared" si="287"/>
        <v>300.7000000000037</v>
      </c>
      <c r="AD429" s="163">
        <f>Rates!$D$40</f>
        <v>12.921562499999999</v>
      </c>
      <c r="AE429" s="184">
        <f t="shared" si="288"/>
        <v>3885.5138437500473</v>
      </c>
      <c r="AF429" s="184"/>
    </row>
    <row r="430" spans="1:32" s="115" customFormat="1" ht="13.5" thickBot="1">
      <c r="A430" s="121">
        <v>40422</v>
      </c>
      <c r="B430" s="462">
        <v>40438</v>
      </c>
      <c r="C430" s="483">
        <v>24888.55</v>
      </c>
      <c r="D430" s="471">
        <f t="shared" si="285"/>
        <v>100.54000000000087</v>
      </c>
      <c r="E430" s="438"/>
      <c r="F430" s="473"/>
      <c r="G430" s="483">
        <v>55251.64</v>
      </c>
      <c r="H430" s="471">
        <f t="shared" si="286"/>
        <v>0.22999999999592546</v>
      </c>
      <c r="I430" s="438"/>
      <c r="J430" s="473"/>
      <c r="K430" s="483">
        <v>141087.67</v>
      </c>
      <c r="L430" s="194">
        <f t="shared" si="289"/>
        <v>345</v>
      </c>
      <c r="M430" s="54"/>
      <c r="N430" s="54"/>
      <c r="O430" s="54"/>
      <c r="P430" s="54"/>
      <c r="Q430" s="118"/>
      <c r="R430" s="120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165">
        <f t="shared" si="287"/>
        <v>411.2699999999968</v>
      </c>
      <c r="AD430" s="189">
        <f>Rates!$D$40</f>
        <v>12.921562499999999</v>
      </c>
      <c r="AE430" s="190">
        <f t="shared" si="288"/>
        <v>5314.251009374958</v>
      </c>
      <c r="AF430" s="190">
        <f>SUM(AE428:AE430)</f>
        <v>11690.215123124875</v>
      </c>
    </row>
    <row r="431" spans="1:32" s="115" customFormat="1" ht="12.75">
      <c r="A431" s="121">
        <v>40452</v>
      </c>
      <c r="B431" s="462">
        <v>40466</v>
      </c>
      <c r="C431" s="481">
        <v>25003.31</v>
      </c>
      <c r="D431" s="463">
        <f t="shared" si="285"/>
        <v>114.76000000000204</v>
      </c>
      <c r="E431" s="464"/>
      <c r="F431" s="466"/>
      <c r="G431" s="481">
        <v>55275.86</v>
      </c>
      <c r="H431" s="463">
        <f t="shared" si="286"/>
        <v>24.220000000001164</v>
      </c>
      <c r="I431" s="464"/>
      <c r="J431" s="466"/>
      <c r="K431" s="481">
        <v>141722.23</v>
      </c>
      <c r="L431" s="264">
        <f t="shared" si="289"/>
        <v>1353.7799999999988</v>
      </c>
      <c r="M431" s="54"/>
      <c r="N431" s="54"/>
      <c r="O431" s="54"/>
      <c r="P431" s="54"/>
      <c r="Q431" s="118"/>
      <c r="R431" s="120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159">
        <f>D431+H431+L431*$K$3</f>
        <v>1357.382000000002</v>
      </c>
      <c r="AD431" s="160">
        <f>Rates!$D$40</f>
        <v>12.921562499999999</v>
      </c>
      <c r="AE431" s="184">
        <f>AC431*AD431</f>
        <v>17539.496349375026</v>
      </c>
      <c r="AF431" s="431"/>
    </row>
    <row r="432" spans="1:32" s="115" customFormat="1" ht="12.75">
      <c r="A432" s="121">
        <v>40483</v>
      </c>
      <c r="B432" s="462">
        <v>40497</v>
      </c>
      <c r="C432" s="482">
        <v>25367.1</v>
      </c>
      <c r="D432" s="468">
        <f t="shared" si="285"/>
        <v>363.78999999999724</v>
      </c>
      <c r="E432" s="469"/>
      <c r="F432" s="470"/>
      <c r="G432" s="482">
        <v>55705.57</v>
      </c>
      <c r="H432" s="468">
        <f t="shared" si="286"/>
        <v>429.7099999999991</v>
      </c>
      <c r="I432" s="469"/>
      <c r="J432" s="470"/>
      <c r="K432" s="482">
        <v>143392.26</v>
      </c>
      <c r="L432" s="192">
        <f t="shared" si="289"/>
        <v>1879.4199999999983</v>
      </c>
      <c r="M432" s="54"/>
      <c r="N432" s="54"/>
      <c r="O432" s="54"/>
      <c r="P432" s="54"/>
      <c r="Q432" s="118"/>
      <c r="R432" s="120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159">
        <f>D432+H432+L432*$K$3</f>
        <v>2484.9779999999946</v>
      </c>
      <c r="AD432" s="163">
        <f>Rates!$D$40</f>
        <v>12.921562499999999</v>
      </c>
      <c r="AE432" s="184">
        <f>AC432*AD432</f>
        <v>32109.798538124927</v>
      </c>
      <c r="AF432" s="184"/>
    </row>
    <row r="433" spans="1:32" s="115" customFormat="1" ht="13.5" thickBot="1">
      <c r="A433" s="121">
        <v>40513</v>
      </c>
      <c r="B433" s="462">
        <v>40526</v>
      </c>
      <c r="C433" s="483">
        <v>25952.95</v>
      </c>
      <c r="D433" s="471">
        <f t="shared" si="285"/>
        <v>585.8500000000022</v>
      </c>
      <c r="E433" s="438"/>
      <c r="F433" s="473"/>
      <c r="G433" s="483">
        <v>56478.39</v>
      </c>
      <c r="H433" s="471">
        <f t="shared" si="286"/>
        <v>772.8199999999997</v>
      </c>
      <c r="I433" s="438"/>
      <c r="J433" s="473"/>
      <c r="K433" s="483">
        <v>145819.34</v>
      </c>
      <c r="L433" s="194">
        <f t="shared" si="289"/>
        <v>2607.0800000000017</v>
      </c>
      <c r="M433" s="54"/>
      <c r="N433" s="54"/>
      <c r="O433" s="54"/>
      <c r="P433" s="54"/>
      <c r="Q433" s="118"/>
      <c r="R433" s="120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165">
        <f>D433+H433+L433*$K$3</f>
        <v>3705.0420000000036</v>
      </c>
      <c r="AD433" s="189">
        <f>Rates!$D$40</f>
        <v>12.921562499999999</v>
      </c>
      <c r="AE433" s="190">
        <f>AC433*AD433</f>
        <v>47874.93176812504</v>
      </c>
      <c r="AF433" s="190">
        <f>SUM(AE431:AE433)</f>
        <v>97524.226655625</v>
      </c>
    </row>
    <row r="434" spans="1:32" s="115" customFormat="1" ht="12.75">
      <c r="A434" s="121">
        <v>40544</v>
      </c>
      <c r="B434" s="462"/>
      <c r="C434" s="481"/>
      <c r="D434" s="463"/>
      <c r="E434" s="464"/>
      <c r="F434" s="466"/>
      <c r="G434" s="481"/>
      <c r="H434" s="463"/>
      <c r="I434" s="464"/>
      <c r="J434" s="466"/>
      <c r="K434" s="481"/>
      <c r="L434" s="264"/>
      <c r="M434" s="54"/>
      <c r="N434" s="54"/>
      <c r="O434" s="54"/>
      <c r="P434" s="54"/>
      <c r="Q434" s="118"/>
      <c r="R434" s="120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159"/>
      <c r="AD434" s="160"/>
      <c r="AE434" s="184"/>
      <c r="AF434" s="431"/>
    </row>
    <row r="435" spans="1:32" s="115" customFormat="1" ht="12.75">
      <c r="A435" s="121">
        <v>40575</v>
      </c>
      <c r="B435" s="462"/>
      <c r="C435" s="482"/>
      <c r="D435" s="468"/>
      <c r="E435" s="469"/>
      <c r="F435" s="470"/>
      <c r="G435" s="482"/>
      <c r="H435" s="468"/>
      <c r="I435" s="469"/>
      <c r="J435" s="470"/>
      <c r="K435" s="482"/>
      <c r="L435" s="192"/>
      <c r="M435" s="54"/>
      <c r="N435" s="54"/>
      <c r="O435" s="54"/>
      <c r="P435" s="54"/>
      <c r="Q435" s="118"/>
      <c r="R435" s="120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159"/>
      <c r="AD435" s="163"/>
      <c r="AE435" s="184"/>
      <c r="AF435" s="184"/>
    </row>
    <row r="436" spans="1:32" s="115" customFormat="1" ht="13.5" thickBot="1">
      <c r="A436" s="121">
        <v>40603</v>
      </c>
      <c r="B436" s="462"/>
      <c r="C436" s="483"/>
      <c r="D436" s="471"/>
      <c r="E436" s="438"/>
      <c r="F436" s="473"/>
      <c r="G436" s="483"/>
      <c r="H436" s="471"/>
      <c r="I436" s="438"/>
      <c r="J436" s="473"/>
      <c r="K436" s="483"/>
      <c r="L436" s="194"/>
      <c r="M436" s="54"/>
      <c r="N436" s="54"/>
      <c r="O436" s="54"/>
      <c r="P436" s="54"/>
      <c r="Q436" s="118"/>
      <c r="R436" s="120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165"/>
      <c r="AD436" s="189"/>
      <c r="AE436" s="190"/>
      <c r="AF436" s="190"/>
    </row>
    <row r="437" spans="1:32" s="115" customFormat="1" ht="12.75">
      <c r="A437" s="121">
        <v>40634</v>
      </c>
      <c r="B437" s="462"/>
      <c r="C437" s="481"/>
      <c r="D437" s="463"/>
      <c r="E437" s="464"/>
      <c r="F437" s="466"/>
      <c r="G437" s="481"/>
      <c r="H437" s="463"/>
      <c r="I437" s="464"/>
      <c r="J437" s="466"/>
      <c r="K437" s="481"/>
      <c r="L437" s="264"/>
      <c r="M437" s="54"/>
      <c r="N437" s="54"/>
      <c r="O437" s="54"/>
      <c r="P437" s="54"/>
      <c r="Q437" s="118"/>
      <c r="R437" s="120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159"/>
      <c r="AD437" s="160"/>
      <c r="AE437" s="184"/>
      <c r="AF437" s="431"/>
    </row>
    <row r="438" spans="1:32" s="115" customFormat="1" ht="12.75">
      <c r="A438" s="121">
        <v>40664</v>
      </c>
      <c r="B438" s="462"/>
      <c r="C438" s="482"/>
      <c r="D438" s="468"/>
      <c r="E438" s="469"/>
      <c r="F438" s="470"/>
      <c r="G438" s="482"/>
      <c r="H438" s="468"/>
      <c r="I438" s="469"/>
      <c r="J438" s="470"/>
      <c r="K438" s="482"/>
      <c r="L438" s="192"/>
      <c r="M438" s="54"/>
      <c r="N438" s="54"/>
      <c r="O438" s="54"/>
      <c r="P438" s="54"/>
      <c r="Q438" s="118"/>
      <c r="R438" s="120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159"/>
      <c r="AD438" s="163"/>
      <c r="AE438" s="184"/>
      <c r="AF438" s="184"/>
    </row>
    <row r="439" spans="1:32" s="115" customFormat="1" ht="13.5" thickBot="1">
      <c r="A439" s="121">
        <v>40695</v>
      </c>
      <c r="B439" s="462"/>
      <c r="C439" s="483"/>
      <c r="D439" s="471"/>
      <c r="E439" s="438"/>
      <c r="F439" s="473"/>
      <c r="G439" s="483"/>
      <c r="H439" s="471"/>
      <c r="I439" s="438"/>
      <c r="J439" s="473"/>
      <c r="K439" s="483"/>
      <c r="L439" s="194"/>
      <c r="M439" s="54"/>
      <c r="N439" s="54"/>
      <c r="O439" s="54"/>
      <c r="P439" s="54"/>
      <c r="Q439" s="118"/>
      <c r="R439" s="120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165"/>
      <c r="AD439" s="189"/>
      <c r="AE439" s="190"/>
      <c r="AF439" s="190"/>
    </row>
    <row r="440" spans="1:37" s="76" customFormat="1" ht="13.5" thickBot="1">
      <c r="A440" s="446" t="s">
        <v>137</v>
      </c>
      <c r="B440" s="329"/>
      <c r="C440" s="330"/>
      <c r="D440" s="331">
        <f>SUM(D416:D427)</f>
        <v>4332.370000000003</v>
      </c>
      <c r="E440" s="331"/>
      <c r="F440" s="331"/>
      <c r="G440" s="331"/>
      <c r="H440" s="331">
        <f>SUM(H416:H427)</f>
        <v>5411.300000000003</v>
      </c>
      <c r="I440" s="331"/>
      <c r="J440" s="331"/>
      <c r="K440" s="331"/>
      <c r="L440" s="331">
        <f>SUM(L416:L427)</f>
        <v>20394.429999999993</v>
      </c>
      <c r="M440" s="331"/>
      <c r="N440" s="331">
        <f>SUM(N404:N415)</f>
        <v>0</v>
      </c>
      <c r="O440" s="331"/>
      <c r="P440" s="331">
        <f>SUM(P404:P415)</f>
        <v>0</v>
      </c>
      <c r="Q440" s="330"/>
      <c r="R440" s="331">
        <f>SUM(R404:R415)</f>
        <v>0</v>
      </c>
      <c r="S440" s="330"/>
      <c r="T440" s="331">
        <f>SUM(T404:T415)</f>
        <v>0</v>
      </c>
      <c r="U440" s="330"/>
      <c r="V440" s="331">
        <f>SUM(V404:V415)</f>
        <v>0</v>
      </c>
      <c r="W440" s="330"/>
      <c r="X440" s="331">
        <f>SUM(X404:X415)</f>
        <v>0</v>
      </c>
      <c r="Y440" s="330"/>
      <c r="Z440" s="331">
        <f>SUM(Z404:Z415)</f>
        <v>0</v>
      </c>
      <c r="AA440" s="330"/>
      <c r="AB440" s="331">
        <f>SUM(AB404:AB415)</f>
        <v>0</v>
      </c>
      <c r="AC440" s="331">
        <f>SUM(AC392:AC403)</f>
        <v>29485.436999999994</v>
      </c>
      <c r="AD440" s="332"/>
      <c r="AE440" s="333" t="s">
        <v>34</v>
      </c>
      <c r="AF440" s="334">
        <f>SUM(AF392:AF403)</f>
        <v>539569.6758014063</v>
      </c>
      <c r="AH440" s="256"/>
      <c r="AI440" s="257"/>
      <c r="AJ440" s="258"/>
      <c r="AK440" s="257"/>
    </row>
    <row r="441" spans="1:37" s="76" customFormat="1" ht="12.75">
      <c r="A441" s="447" t="s">
        <v>135</v>
      </c>
      <c r="B441" s="448"/>
      <c r="C441" s="449"/>
      <c r="D441" s="450">
        <f>SUM(D404:D415)</f>
        <v>4333.419999999998</v>
      </c>
      <c r="E441" s="450"/>
      <c r="F441" s="450"/>
      <c r="G441" s="450"/>
      <c r="H441" s="450">
        <f>SUM(H404:H415)</f>
        <v>5752</v>
      </c>
      <c r="I441" s="450"/>
      <c r="J441" s="450"/>
      <c r="K441" s="450"/>
      <c r="L441" s="450">
        <f>SUM(L404:L415)</f>
        <v>22374.49000000001</v>
      </c>
      <c r="M441" s="450"/>
      <c r="N441" s="450">
        <f>SUM(N392:N403)</f>
        <v>0</v>
      </c>
      <c r="O441" s="450"/>
      <c r="P441" s="450">
        <f>SUM(P392:P403)</f>
        <v>0</v>
      </c>
      <c r="Q441" s="450"/>
      <c r="R441" s="450">
        <f>SUM(R392:R403)</f>
        <v>0</v>
      </c>
      <c r="S441" s="450"/>
      <c r="T441" s="450">
        <f>SUM(T392:T403)</f>
        <v>0</v>
      </c>
      <c r="U441" s="450"/>
      <c r="V441" s="450">
        <f>SUM(V392:V403)</f>
        <v>0</v>
      </c>
      <c r="W441" s="450"/>
      <c r="X441" s="450">
        <f>SUM(X392:X403)</f>
        <v>0</v>
      </c>
      <c r="Y441" s="450"/>
      <c r="Z441" s="450">
        <f>SUM(Z392:Z403)</f>
        <v>0</v>
      </c>
      <c r="AA441" s="450"/>
      <c r="AB441" s="450">
        <f>SUM(AB392:AB403)</f>
        <v>0</v>
      </c>
      <c r="AC441" s="450">
        <f>SUM(AC380:AC391)</f>
        <v>28376.247000000007</v>
      </c>
      <c r="AF441" s="451">
        <f>SUM(AF380:AF391)</f>
        <v>461916.5294854688</v>
      </c>
      <c r="AH441" s="256"/>
      <c r="AI441" s="257"/>
      <c r="AJ441" s="258"/>
      <c r="AK441" s="257"/>
    </row>
    <row r="442" spans="1:18" ht="14.25">
      <c r="A442" s="76"/>
      <c r="B442" s="336" t="s">
        <v>130</v>
      </c>
      <c r="K442" s="356"/>
      <c r="L442" s="397"/>
      <c r="M442" s="398"/>
      <c r="N442" s="398"/>
      <c r="O442" s="342"/>
      <c r="Q442" s="342"/>
      <c r="R442" s="342"/>
    </row>
    <row r="443" ht="14.25">
      <c r="B443" s="336" t="s">
        <v>125</v>
      </c>
    </row>
  </sheetData>
  <sheetProtection/>
  <mergeCells count="55">
    <mergeCell ref="W114:X114"/>
    <mergeCell ref="Y114:Z114"/>
    <mergeCell ref="AA114:AB114"/>
    <mergeCell ref="U4:V4"/>
    <mergeCell ref="W4:X4"/>
    <mergeCell ref="I338:J338"/>
    <mergeCell ref="I225:J225"/>
    <mergeCell ref="G225:H225"/>
    <mergeCell ref="S4:T4"/>
    <mergeCell ref="O114:P114"/>
    <mergeCell ref="Q114:R114"/>
    <mergeCell ref="S114:T114"/>
    <mergeCell ref="Q4:R4"/>
    <mergeCell ref="I222:J222"/>
    <mergeCell ref="I114:J114"/>
    <mergeCell ref="K114:L114"/>
    <mergeCell ref="C338:D338"/>
    <mergeCell ref="G338:H338"/>
    <mergeCell ref="K338:L338"/>
    <mergeCell ref="C114:D114"/>
    <mergeCell ref="E114:F114"/>
    <mergeCell ref="G222:H222"/>
    <mergeCell ref="E338:F338"/>
    <mergeCell ref="C4:D4"/>
    <mergeCell ref="E4:F4"/>
    <mergeCell ref="C225:D225"/>
    <mergeCell ref="E225:F225"/>
    <mergeCell ref="C222:D222"/>
    <mergeCell ref="K4:L4"/>
    <mergeCell ref="G4:H4"/>
    <mergeCell ref="I4:J4"/>
    <mergeCell ref="AJ337:AK337"/>
    <mergeCell ref="Y225:Z225"/>
    <mergeCell ref="O225:P225"/>
    <mergeCell ref="Q225:R225"/>
    <mergeCell ref="M225:N225"/>
    <mergeCell ref="G114:H114"/>
    <mergeCell ref="K225:L225"/>
    <mergeCell ref="M114:N114"/>
    <mergeCell ref="O4:P4"/>
    <mergeCell ref="AA225:AB225"/>
    <mergeCell ref="U225:V225"/>
    <mergeCell ref="W225:X225"/>
    <mergeCell ref="S225:T225"/>
    <mergeCell ref="M4:N4"/>
    <mergeCell ref="Y4:Z4"/>
    <mergeCell ref="AA4:AB4"/>
    <mergeCell ref="U114:V114"/>
    <mergeCell ref="AH337:AI337"/>
    <mergeCell ref="AJ224:AK224"/>
    <mergeCell ref="AH224:AI224"/>
    <mergeCell ref="AJ3:AK3"/>
    <mergeCell ref="AH3:AI3"/>
    <mergeCell ref="AH113:AI113"/>
    <mergeCell ref="AJ113:AK113"/>
  </mergeCells>
  <printOptions horizontalCentered="1"/>
  <pageMargins left="0.25" right="0.25" top="0.75" bottom="0.25" header="0.5" footer="0.5"/>
  <pageSetup fitToHeight="4" horizontalDpi="600" verticalDpi="600" orientation="landscape" paperSize="3" scale="49" r:id="rId1"/>
  <rowBreaks count="3" manualBreakCount="3">
    <brk id="112" max="31" man="1"/>
    <brk id="223" max="31" man="1"/>
    <brk id="336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26" customWidth="1"/>
    <col min="2" max="2" width="25.140625" style="26" customWidth="1"/>
    <col min="3" max="5" width="13.8515625" style="26" customWidth="1"/>
    <col min="6" max="6" width="16.57421875" style="26" customWidth="1"/>
    <col min="7" max="7" width="15.28125" style="37" customWidth="1"/>
    <col min="8" max="9" width="13.8515625" style="26" customWidth="1"/>
    <col min="10" max="10" width="10.57421875" style="26" customWidth="1"/>
    <col min="11" max="11" width="11.140625" style="26" customWidth="1"/>
    <col min="12" max="12" width="14.421875" style="26" customWidth="1"/>
    <col min="13" max="13" width="8.57421875" style="26" customWidth="1"/>
    <col min="14" max="16384" width="9.140625" style="26" customWidth="1"/>
  </cols>
  <sheetData>
    <row r="1" spans="2:10" ht="18">
      <c r="B1" s="535" t="s">
        <v>27</v>
      </c>
      <c r="C1" s="535"/>
      <c r="D1" s="535"/>
      <c r="E1" s="535"/>
      <c r="F1" s="535"/>
      <c r="G1" s="535"/>
      <c r="H1" s="84"/>
      <c r="I1" s="84"/>
      <c r="J1" s="84"/>
    </row>
    <row r="2" spans="2:10" ht="18">
      <c r="B2" s="536" t="s">
        <v>143</v>
      </c>
      <c r="C2" s="536"/>
      <c r="D2" s="536"/>
      <c r="E2" s="536"/>
      <c r="F2" s="536"/>
      <c r="G2" s="536"/>
      <c r="H2" s="85"/>
      <c r="I2" s="85"/>
      <c r="J2" s="85"/>
    </row>
    <row r="3" spans="2:10" ht="12.75">
      <c r="B3" s="86"/>
      <c r="C3" s="87"/>
      <c r="D3" s="87"/>
      <c r="E3" s="87"/>
      <c r="F3" s="87"/>
      <c r="G3" s="87"/>
      <c r="I3" s="88"/>
      <c r="J3" s="88"/>
    </row>
    <row r="4" spans="2:38" s="89" customFormat="1" ht="12.75">
      <c r="B4" s="90"/>
      <c r="C4" s="91"/>
      <c r="D4" s="92"/>
      <c r="E4" s="91"/>
      <c r="F4" s="92"/>
      <c r="G4" s="91"/>
      <c r="H4" s="92"/>
      <c r="I4" s="91"/>
      <c r="J4" s="92"/>
      <c r="K4" s="91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2:38" s="89" customFormat="1" ht="18">
      <c r="B5" s="35" t="s">
        <v>28</v>
      </c>
      <c r="C5" s="51"/>
      <c r="D5" s="93"/>
      <c r="E5" s="51"/>
      <c r="F5" s="93"/>
      <c r="G5" s="51"/>
      <c r="H5" s="93"/>
      <c r="I5" s="51"/>
      <c r="J5" s="93"/>
      <c r="K5" s="51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</row>
    <row r="6" spans="2:38" s="89" customFormat="1" ht="15">
      <c r="B6" s="27" t="s">
        <v>15</v>
      </c>
      <c r="C6" s="28"/>
      <c r="D6" s="29"/>
      <c r="E6" s="30">
        <v>0.078</v>
      </c>
      <c r="F6" s="31" t="s">
        <v>16</v>
      </c>
      <c r="G6" s="28"/>
      <c r="H6" s="94"/>
      <c r="I6" s="95"/>
      <c r="J6" s="95"/>
      <c r="K6" s="9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2:38" s="89" customFormat="1" ht="15">
      <c r="B7" s="27" t="s">
        <v>7</v>
      </c>
      <c r="C7" s="28"/>
      <c r="D7" s="29"/>
      <c r="E7" s="30">
        <v>0</v>
      </c>
      <c r="F7" s="31" t="s">
        <v>16</v>
      </c>
      <c r="G7" s="28"/>
      <c r="H7" s="29"/>
      <c r="I7" s="28"/>
      <c r="J7" s="29"/>
      <c r="K7" s="28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2:38" s="89" customFormat="1" ht="15">
      <c r="B8" s="27" t="s">
        <v>78</v>
      </c>
      <c r="C8" s="28"/>
      <c r="D8" s="29"/>
      <c r="E8" s="30">
        <v>0.01</v>
      </c>
      <c r="F8" s="31" t="s">
        <v>16</v>
      </c>
      <c r="G8" s="28"/>
      <c r="H8" s="173"/>
      <c r="I8" s="96"/>
      <c r="J8" s="29"/>
      <c r="K8" s="28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2:38" s="89" customFormat="1" ht="15.75" thickBot="1">
      <c r="B9" s="27"/>
      <c r="C9" s="28"/>
      <c r="D9" s="29"/>
      <c r="E9" s="30"/>
      <c r="F9" s="31"/>
      <c r="G9" s="28"/>
      <c r="H9" s="173"/>
      <c r="I9" s="96"/>
      <c r="J9" s="29"/>
      <c r="K9" s="28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2:11" s="89" customFormat="1" ht="15.75" thickBot="1">
      <c r="B10" s="97" t="s">
        <v>18</v>
      </c>
      <c r="C10" s="28"/>
      <c r="D10" s="29"/>
      <c r="E10" s="537">
        <f>SUM(E6:E8)</f>
        <v>0.088</v>
      </c>
      <c r="F10" s="98" t="s">
        <v>16</v>
      </c>
      <c r="G10" s="28"/>
      <c r="H10" s="29"/>
      <c r="I10" s="28"/>
      <c r="J10" s="29"/>
      <c r="K10" s="28"/>
    </row>
    <row r="11" spans="2:11" s="89" customFormat="1" ht="15">
      <c r="B11" s="97"/>
      <c r="C11" s="28"/>
      <c r="D11" s="29"/>
      <c r="E11" s="30"/>
      <c r="F11" s="31"/>
      <c r="G11" s="28"/>
      <c r="H11" s="29"/>
      <c r="I11" s="28"/>
      <c r="J11" s="29"/>
      <c r="K11" s="28"/>
    </row>
    <row r="12" spans="2:11" s="89" customFormat="1" ht="14.25">
      <c r="B12" s="99" t="s">
        <v>17</v>
      </c>
      <c r="C12" s="28"/>
      <c r="D12" s="29"/>
      <c r="E12" s="30"/>
      <c r="F12" s="31"/>
      <c r="G12" s="28"/>
      <c r="H12" s="29"/>
      <c r="I12" s="28"/>
      <c r="J12" s="29"/>
      <c r="K12" s="28"/>
    </row>
    <row r="13" spans="2:11" s="89" customFormat="1" ht="15">
      <c r="B13" s="97"/>
      <c r="C13" s="94"/>
      <c r="D13" s="29"/>
      <c r="E13" s="50"/>
      <c r="F13" s="31"/>
      <c r="G13" s="28"/>
      <c r="H13" s="29"/>
      <c r="I13" s="28"/>
      <c r="J13" s="29"/>
      <c r="K13" s="28"/>
    </row>
    <row r="14" spans="2:11" ht="18">
      <c r="B14" s="35" t="s">
        <v>29</v>
      </c>
      <c r="C14" s="51"/>
      <c r="D14" s="93"/>
      <c r="E14" s="51"/>
      <c r="F14" s="93"/>
      <c r="G14" s="32"/>
      <c r="K14" s="89"/>
    </row>
    <row r="15" spans="2:11" ht="15">
      <c r="B15" s="27" t="s">
        <v>19</v>
      </c>
      <c r="C15" s="28"/>
      <c r="D15" s="29"/>
      <c r="E15" s="30">
        <v>6.5</v>
      </c>
      <c r="F15" s="31" t="s">
        <v>8</v>
      </c>
      <c r="G15" s="32"/>
      <c r="H15" s="173"/>
      <c r="K15" s="89"/>
    </row>
    <row r="16" spans="2:8" ht="15">
      <c r="B16" s="27" t="s">
        <v>7</v>
      </c>
      <c r="C16" s="28"/>
      <c r="D16" s="29"/>
      <c r="E16" s="33">
        <v>0.66</v>
      </c>
      <c r="F16" s="31" t="s">
        <v>8</v>
      </c>
      <c r="G16" s="32"/>
      <c r="H16" s="173"/>
    </row>
    <row r="17" spans="2:8" ht="15">
      <c r="B17" s="27" t="s">
        <v>78</v>
      </c>
      <c r="C17" s="28"/>
      <c r="D17" s="29"/>
      <c r="E17" s="33">
        <v>1.1</v>
      </c>
      <c r="F17" s="31" t="s">
        <v>8</v>
      </c>
      <c r="G17" s="32"/>
      <c r="H17" s="173"/>
    </row>
    <row r="18" spans="2:8" ht="15">
      <c r="B18" s="27"/>
      <c r="C18" s="28"/>
      <c r="D18" s="29"/>
      <c r="E18" s="33"/>
      <c r="F18" s="31"/>
      <c r="G18" s="32"/>
      <c r="H18" s="173"/>
    </row>
    <row r="19" spans="2:7" ht="15">
      <c r="B19" s="27" t="s">
        <v>81</v>
      </c>
      <c r="C19" s="28"/>
      <c r="D19" s="29"/>
      <c r="E19" s="33">
        <f>SUM(E15:E17)</f>
        <v>8.26</v>
      </c>
      <c r="F19" s="31" t="s">
        <v>8</v>
      </c>
      <c r="G19" s="32"/>
    </row>
    <row r="20" spans="2:7" ht="15">
      <c r="B20" s="97" t="s">
        <v>9</v>
      </c>
      <c r="C20" s="94"/>
      <c r="D20" s="50">
        <v>1</v>
      </c>
      <c r="F20" s="31" t="s">
        <v>82</v>
      </c>
      <c r="G20" s="32"/>
    </row>
    <row r="21" spans="2:7" ht="15">
      <c r="B21" s="87"/>
      <c r="C21" s="94"/>
      <c r="D21" s="29"/>
      <c r="E21" s="52">
        <f>E19/D20</f>
        <v>8.26</v>
      </c>
      <c r="F21" s="98" t="s">
        <v>10</v>
      </c>
      <c r="G21" s="53"/>
    </row>
    <row r="22" spans="2:8" ht="15">
      <c r="B22" s="97" t="s">
        <v>18</v>
      </c>
      <c r="C22" s="94"/>
      <c r="D22" s="29"/>
      <c r="E22" s="53">
        <f>E21/10</f>
        <v>0.826</v>
      </c>
      <c r="F22" s="31" t="s">
        <v>37</v>
      </c>
      <c r="G22" s="53"/>
      <c r="H22" s="508"/>
    </row>
    <row r="23" spans="2:7" ht="12.75">
      <c r="B23" s="87"/>
      <c r="C23" s="87"/>
      <c r="D23" s="87"/>
      <c r="E23" s="87"/>
      <c r="F23" s="87"/>
      <c r="G23" s="32"/>
    </row>
    <row r="24" spans="2:7" ht="12.75">
      <c r="B24" s="100" t="s">
        <v>120</v>
      </c>
      <c r="C24" s="87"/>
      <c r="D24" s="87"/>
      <c r="E24" s="87"/>
      <c r="F24" s="87"/>
      <c r="G24" s="32"/>
    </row>
    <row r="25" spans="2:7" s="101" customFormat="1" ht="14.25">
      <c r="B25" s="100" t="s">
        <v>38</v>
      </c>
      <c r="C25" s="99"/>
      <c r="D25" s="99"/>
      <c r="E25" s="99"/>
      <c r="F25" s="99"/>
      <c r="G25" s="102"/>
    </row>
    <row r="26" spans="2:7" ht="12.75">
      <c r="B26" s="87"/>
      <c r="C26" s="87"/>
      <c r="D26" s="87"/>
      <c r="E26" s="87"/>
      <c r="F26" s="87"/>
      <c r="G26" s="32"/>
    </row>
    <row r="27" spans="2:7" ht="18">
      <c r="B27" s="35" t="s">
        <v>30</v>
      </c>
      <c r="C27" s="51"/>
      <c r="D27" s="93"/>
      <c r="E27" s="51"/>
      <c r="F27" s="93"/>
      <c r="G27" s="51"/>
    </row>
    <row r="28" spans="2:7" ht="15">
      <c r="B28" s="27" t="s">
        <v>13</v>
      </c>
      <c r="C28" s="28"/>
      <c r="D28" s="29"/>
      <c r="E28" s="103">
        <v>0.03</v>
      </c>
      <c r="F28" s="31" t="s">
        <v>12</v>
      </c>
      <c r="G28" s="28"/>
    </row>
    <row r="29" spans="2:7" ht="15">
      <c r="B29" s="27" t="s">
        <v>14</v>
      </c>
      <c r="C29" s="28"/>
      <c r="D29" s="29"/>
      <c r="E29" s="103">
        <v>0.03</v>
      </c>
      <c r="F29" s="31" t="s">
        <v>12</v>
      </c>
      <c r="G29" s="103"/>
    </row>
    <row r="30" spans="2:8" ht="15.75" thickBot="1">
      <c r="B30" s="27" t="s">
        <v>78</v>
      </c>
      <c r="C30" s="28"/>
      <c r="D30" s="29"/>
      <c r="E30" s="103">
        <v>0.0035</v>
      </c>
      <c r="F30" s="31" t="s">
        <v>12</v>
      </c>
      <c r="G30" s="28"/>
      <c r="H30" s="173"/>
    </row>
    <row r="31" spans="2:7" ht="15.75" thickBot="1">
      <c r="B31" s="97" t="s">
        <v>18</v>
      </c>
      <c r="C31" s="94"/>
      <c r="D31" s="29"/>
      <c r="E31" s="537">
        <f>SUM(E28:E30)</f>
        <v>0.0635</v>
      </c>
      <c r="F31" s="98" t="s">
        <v>12</v>
      </c>
      <c r="G31" s="28"/>
    </row>
    <row r="33" spans="2:6" ht="18">
      <c r="B33" s="35" t="s">
        <v>83</v>
      </c>
      <c r="C33" s="36"/>
      <c r="D33" s="36"/>
      <c r="E33" s="36"/>
      <c r="F33"/>
    </row>
    <row r="34" spans="1:5" ht="25.5">
      <c r="A34"/>
      <c r="B34" s="538" t="s">
        <v>47</v>
      </c>
      <c r="C34" s="539" t="s">
        <v>48</v>
      </c>
      <c r="D34" s="540" t="s">
        <v>49</v>
      </c>
      <c r="E34" s="38" t="s">
        <v>50</v>
      </c>
    </row>
    <row r="35" spans="1:5" ht="25.5">
      <c r="A35"/>
      <c r="B35" s="538" t="s">
        <v>47</v>
      </c>
      <c r="C35" s="539" t="s">
        <v>48</v>
      </c>
      <c r="D35" s="540" t="s">
        <v>49</v>
      </c>
      <c r="E35" s="39" t="s">
        <v>52</v>
      </c>
    </row>
    <row r="36" spans="1:5" ht="12.75">
      <c r="A36"/>
      <c r="B36" s="541" t="s">
        <v>51</v>
      </c>
      <c r="C36" s="542"/>
      <c r="D36" s="543">
        <f>E15+E16</f>
        <v>7.16</v>
      </c>
      <c r="E36" s="39" t="s">
        <v>54</v>
      </c>
    </row>
    <row r="37" spans="1:5" ht="12.75">
      <c r="A37" s="544">
        <v>0.8</v>
      </c>
      <c r="B37" s="541" t="s">
        <v>53</v>
      </c>
      <c r="C37" s="545">
        <f>D36/A37-D36</f>
        <v>1.7899999999999991</v>
      </c>
      <c r="D37" s="543">
        <f>D36+C37</f>
        <v>8.95</v>
      </c>
      <c r="E37" s="39" t="s">
        <v>56</v>
      </c>
    </row>
    <row r="38" spans="1:5" ht="12.75">
      <c r="A38" s="544">
        <v>0.1</v>
      </c>
      <c r="B38" s="541" t="s">
        <v>55</v>
      </c>
      <c r="C38" s="545">
        <f>D37*A38</f>
        <v>0.895</v>
      </c>
      <c r="D38" s="543">
        <f>D37+C38</f>
        <v>9.844999999999999</v>
      </c>
      <c r="E38" s="39" t="s">
        <v>58</v>
      </c>
    </row>
    <row r="39" spans="1:5" ht="12.75">
      <c r="A39" s="544">
        <v>0.8</v>
      </c>
      <c r="B39" s="541" t="s">
        <v>57</v>
      </c>
      <c r="C39" s="545">
        <f>D38/A39-D38</f>
        <v>2.4612499999999997</v>
      </c>
      <c r="D39" s="543">
        <f>D38+C39</f>
        <v>12.306249999999999</v>
      </c>
      <c r="E39" s="39" t="s">
        <v>59</v>
      </c>
    </row>
    <row r="40" spans="1:5" ht="13.5" thickBot="1">
      <c r="A40" s="544">
        <v>0.05</v>
      </c>
      <c r="B40" s="541" t="s">
        <v>140</v>
      </c>
      <c r="C40" s="545">
        <f>D39*A40</f>
        <v>0.6153124999999999</v>
      </c>
      <c r="D40" s="543">
        <f>D39+C40</f>
        <v>12.921562499999999</v>
      </c>
      <c r="E40"/>
    </row>
    <row r="41" spans="1:5" ht="13.5" thickBot="1">
      <c r="A41"/>
      <c r="B41" s="541" t="s">
        <v>60</v>
      </c>
      <c r="C41" s="40"/>
      <c r="D41" s="546">
        <f>D40</f>
        <v>12.921562499999999</v>
      </c>
      <c r="E41"/>
    </row>
  </sheetData>
  <sheetProtection/>
  <mergeCells count="2">
    <mergeCell ref="B1:G1"/>
    <mergeCell ref="B2:G2"/>
  </mergeCells>
  <printOptions horizontalCentered="1"/>
  <pageMargins left="0.75" right="0.75" top="1.32" bottom="1" header="0.5" footer="0.5"/>
  <pageSetup fitToHeight="1" fitToWidth="1" horizontalDpi="300" verticalDpi="300" orientation="portrait" scale="85" r:id="rId1"/>
  <headerFooter alignWithMargins="0">
    <oddHeader>&amp;R&amp;12&amp;F</oddHeader>
    <oddFooter>&amp;L&amp;D&amp;Rpage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CF&amp;O</dc:creator>
  <cp:keywords/>
  <dc:description/>
  <cp:lastModifiedBy>James Leidel</cp:lastModifiedBy>
  <cp:lastPrinted>2010-12-17T18:09:38Z</cp:lastPrinted>
  <dcterms:created xsi:type="dcterms:W3CDTF">1999-07-21T16:32:27Z</dcterms:created>
  <dcterms:modified xsi:type="dcterms:W3CDTF">2011-03-09T14:50:10Z</dcterms:modified>
  <cp:category/>
  <cp:version/>
  <cp:contentType/>
  <cp:contentStatus/>
</cp:coreProperties>
</file>